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DveA/XnJOHkG93+qNoj2Urc8nxwwyvJplsXdYgfmawETxOEtFL6KLbsoFWDB5GGv5kJURByBEQOxyEeHOhdteQ==" workbookSaltValue="MC8eVGtHqYeaETO/kbip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T31" i="8"/>
  <c r="H28" i="2"/>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9"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<sst xmlns="http://schemas.openxmlformats.org/spreadsheetml/2006/main" count="2654" uniqueCount="1185">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</sst>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h4Gj5JS0XJr8JKHjyQFnKHUlhKiLYi+YXrVvZxxq5yLXrTwYBC33IvsFby1SsB67p1SZqvcIFoy++RLybkDCw==" saltValue="YuYuVT4Hc6fgCZ5eFmqN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64.051200724966009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47</v>
      </c>
      <c r="E10" s="240">
        <f>IF(ISNUMBER(Datos!J10),Datos!J10," - ")</f>
        <v>24</v>
      </c>
      <c r="F10" s="240">
        <f>IF(ISNUMBER(Datos!K10),Datos!K10," - ")</f>
        <v>33</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-0.19148936170212766</v>
      </c>
      <c r="L10" s="1402">
        <f>IF(ISNUMBER(NºAsuntos!I10/NºAsuntos!G10),(NºAsuntos!I10/NºAsuntos!G10)*11," - ")</f>
        <v>12.666666666666668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47</v>
      </c>
      <c r="E14" s="1408">
        <f>SUBTOTAL(9,E9:E13)</f>
        <v>24</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3484</v>
      </c>
      <c r="D16" s="239">
        <f>IF(ISNUMBER(IF(D_I="SI",Datos!I16,Datos!I16+Datos!AC16)),IF(D_I="SI",Datos!I16,Datos!I16+Datos!AC16)," - ")</f>
        <v>3454</v>
      </c>
      <c r="E16" s="240">
        <f>IF(ISNUMBER(IF(D_I="SI",Datos!J16,Datos!J16+Datos!AD16)),IF(D_I="SI",Datos!J16,Datos!J16+Datos!AD16)," - ")</f>
        <v>2644</v>
      </c>
      <c r="F16" s="240">
        <f>IF(ISNUMBER(IF(D_I="SI",Datos!K16,Datos!K16+Datos!AE16)),IF(D_I="SI",Datos!K16,Datos!K16+Datos!AE16)," - ")</f>
        <v>2611</v>
      </c>
      <c r="G16" s="1390" t="str">
        <f>IF(Datos!E16&lt;&gt;"",Datos!E16,Datos!D16)</f>
        <v>03</v>
      </c>
      <c r="H16" s="241">
        <f>IF(ISNUMBER(IF(D_I="SI",Datos!L16,Datos!L16+Datos!AF16)),IF(D_I="SI",Datos!L16,Datos!L16+Datos!AF16)," - ")</f>
        <v>3517</v>
      </c>
      <c r="I16" s="1400" t="str">
        <f>IF(ISNUMBER(Datos!AS16/Datos!BM16),Datos!AS16/Datos!BM16," - ")</f>
        <v xml:space="preserve"> - </v>
      </c>
      <c r="J16" s="1401">
        <f>IF(ISNUMBER(Datos!BY16/Datos!CN16),Datos!BY16/Datos!CN16," - ")</f>
        <v>0</v>
      </c>
      <c r="K16" s="244">
        <f t="shared" ref="K16:K22" si="3">IF(ISNUMBER((E16-F16)/C16),(E16-F16)/C16," - ")</f>
        <v>9.4718714121699195E-3</v>
      </c>
      <c r="L16" s="1402">
        <f>IF(ISNUMBER(NºAsuntos!I16/NºAsuntos!G16),(NºAsuntos!I16/NºAsuntos!G16)*11," - ")</f>
        <v>14.816928379931062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8</v>
      </c>
      <c r="D17" s="239">
        <f>IF(ISNUMBER(IF(D_I="SI",Datos!I17,Datos!I17+Datos!AC17)),IF(D_I="SI",Datos!I17,Datos!I17+Datos!AC17)," - ")</f>
        <v>8</v>
      </c>
      <c r="E17" s="240">
        <f>IF(ISNUMBER(IF(D_I="SI",Datos!J17,Datos!J17+Datos!AD17)),IF(D_I="SI",Datos!J17,Datos!J17+Datos!AD17)," - ")</f>
        <v>1</v>
      </c>
      <c r="F17" s="240">
        <f>IF(ISNUMBER(IF(D_I="SI",Datos!K17,Datos!K17+Datos!AE17)),IF(D_I="SI",Datos!K17,Datos!K17+Datos!AE17)," - ")</f>
        <v>1</v>
      </c>
      <c r="G17" s="1390" t="str">
        <f>IF(Datos!E17&lt;&gt;"",Datos!E17,Datos!D17)</f>
        <v>04</v>
      </c>
      <c r="H17" s="241">
        <f>IF(ISNUMBER(IF(D_I="SI",Datos!L17,Datos!L17+Datos!AF17)),IF(D_I="SI",Datos!L17,Datos!L17+Datos!AF17)," - ")</f>
        <v>8</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188</v>
      </c>
      <c r="D18" s="239">
        <f>IF(ISNUMBER(IF(D_I="SI",Datos!I18,Datos!I18+Datos!AC18)),IF(D_I="SI",Datos!I18,Datos!I18+Datos!AC18)," - ")</f>
        <v>188</v>
      </c>
      <c r="E18" s="240">
        <f>IF(ISNUMBER(IF(D_I="SI",Datos!J18,Datos!J18+Datos!AD18)),IF(D_I="SI",Datos!J18,Datos!J18+Datos!AD18)," - ")</f>
        <v>247</v>
      </c>
      <c r="F18" s="240">
        <f>IF(ISNUMBER(IF(D_I="SI",Datos!K18,Datos!K18+Datos!AE18)),IF(D_I="SI",Datos!K18,Datos!K18+Datos!AE18)," - ")</f>
        <v>217</v>
      </c>
      <c r="G18" s="1390" t="str">
        <f>IF(Datos!E18&lt;&gt;"",Datos!E18,Datos!D18)</f>
        <v>37</v>
      </c>
      <c r="H18" s="241">
        <f>IF(ISNUMBER(IF(D_I="SI",Datos!L18,Datos!L18+Datos!AF18)),IF(D_I="SI",Datos!L18,Datos!L18+Datos!AF18)," - ")</f>
        <v>218</v>
      </c>
      <c r="I18" s="1400" t="str">
        <f>IF(ISNUMBER(Datos!AS18/Datos!BM18),Datos!AS18/Datos!BM18," - ")</f>
        <v xml:space="preserve"> - </v>
      </c>
      <c r="J18" s="1401" t="str">
        <f>IF(ISNUMBER((Datos!BY18+Datos!BZ18)/Datos!CN18),(Datos!BY18+Datos!BZ18)/Datos!CN18," - ")</f>
        <v xml:space="preserve"> - </v>
      </c>
      <c r="K18" s="244">
        <f t="shared" si="3"/>
        <v>0.15957446808510639</v>
      </c>
      <c r="L18" s="1402">
        <f>IF(ISNUMBER(NºAsuntos!I18/NºAsuntos!G18),(NºAsuntos!I18/NºAsuntos!G18)*11," - ")</f>
        <v>11.050691244239632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3680</v>
      </c>
      <c r="D23" s="1407">
        <f>SUBTOTAL(9,D16:D22)</f>
        <v>3650</v>
      </c>
      <c r="E23" s="1408">
        <f>SUBTOTAL(9,E16:E22)</f>
        <v>2892</v>
      </c>
      <c r="F23" s="1408">
        <f>SUBTOTAL(9,F16:F22)</f>
        <v>2829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3727</v>
      </c>
      <c r="D31" s="1435">
        <f>SUBTOTAL(9,D9:D30)</f>
        <v>3697</v>
      </c>
      <c r="E31" s="1436">
        <f>SUBTOTAL(9,E9:E30)</f>
        <v>2916</v>
      </c>
      <c r="F31" s="1436">
        <f>SUBTOTAL(9,F9:F30)</f>
        <v>2862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QGlRTqQnEBYxKmo2/9uClT0l8RYmeWklx9hVoJOJNLYmI15N5ZirtJXKJ5JlhpdibrIsh9crZZPmUdkOcqaiqA==" saltValue="TsGl7AuZ1nOg5Ja2L8hF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pVw6znX1lTBpifxbmXzCD9zmN9nY61cDpw7T/bTjDcyNwNuw2jAug4AIGJl/jaZ0D/6b3gSqpnF3CreEEO05w==" saltValue="jmUYnQM43cPzzgG/5OWR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11968</v>
      </c>
      <c r="J9" s="194">
        <v>2642</v>
      </c>
      <c r="K9" s="194">
        <v>2116</v>
      </c>
      <c r="L9" s="194">
        <v>12494</v>
      </c>
      <c r="M9" s="194">
        <v>533</v>
      </c>
      <c r="N9" s="194">
        <v>799</v>
      </c>
      <c r="O9" s="194">
        <v>990</v>
      </c>
      <c r="P9" s="194">
        <v>475</v>
      </c>
      <c r="Q9" s="194">
        <v>378</v>
      </c>
      <c r="R9" s="194">
        <v>10761</v>
      </c>
      <c r="S9" s="194">
        <v>9272</v>
      </c>
      <c r="T9" s="194">
        <v>2681</v>
      </c>
      <c r="U9" s="194">
        <v>2096</v>
      </c>
      <c r="V9" s="194">
        <v>9857</v>
      </c>
      <c r="W9" s="194">
        <v>569</v>
      </c>
      <c r="X9" s="201">
        <v>755</v>
      </c>
      <c r="Y9" s="204">
        <v>349</v>
      </c>
      <c r="Z9" s="194">
        <v>99</v>
      </c>
      <c r="AA9" s="194">
        <v>91</v>
      </c>
      <c r="AB9" s="194">
        <v>357</v>
      </c>
      <c r="AC9" s="194">
        <v>0</v>
      </c>
      <c r="AD9" s="194">
        <v>0</v>
      </c>
      <c r="AE9" s="194">
        <v>0</v>
      </c>
      <c r="AF9" s="201">
        <v>0</v>
      </c>
      <c r="AG9" s="204">
        <v>309</v>
      </c>
      <c r="AH9" s="194">
        <v>122</v>
      </c>
      <c r="AI9" s="194">
        <v>147</v>
      </c>
      <c r="AJ9" s="205">
        <v>284</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9581</v>
      </c>
      <c r="AZ9" s="133">
        <f>IF(ISNUMBER(IF(J_V="SI",T9,T9+AH9)),IF(J_V="SI",T9,T9+AH9)," - ")</f>
        <v>2803</v>
      </c>
      <c r="BA9" s="134">
        <f>IF(ISNUMBER(IF(J_V="SI",U9,U9+AI9)),IF(J_V="SI",U9,U9+AI9)," - ")</f>
        <v>2243</v>
      </c>
      <c r="BB9" s="134">
        <f>IF(ISNUMBER(IF(J_V="SI",V9,V9+AJ9)),IF(J_V="SI",V9,V9+AJ9)," - ")</f>
        <v>10141</v>
      </c>
      <c r="BC9" s="135">
        <f>IF(ISNUMBER(X9),X9," - ")</f>
        <v>755</v>
      </c>
      <c r="BD9" s="136">
        <f>IF(ISNUMBER(BA9/AZ9),BA9/AZ9," - ")</f>
        <v>0.800214056368177</v>
      </c>
      <c r="BE9" s="137">
        <f>IF(ISNUMBER(BB9/BA9),BB9/BA9, " - ")</f>
        <v>4.5211769950958534</v>
      </c>
      <c r="BF9" s="137">
        <f>IF(ISNUMBER(BC9/BA9),BC9/BA9, " - ")</f>
        <v>0.33660276415514934</v>
      </c>
      <c r="BG9" s="209">
        <f>IF(ISNUMBER((AY9+AZ9)/BA9),(AY9+AZ9)/BA9," - ")</f>
        <v>5.5211769950958534</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47</v>
      </c>
      <c r="J10" s="194">
        <v>24</v>
      </c>
      <c r="K10" s="194">
        <v>33</v>
      </c>
      <c r="L10" s="194">
        <v>38</v>
      </c>
      <c r="M10" s="194">
        <v>14</v>
      </c>
      <c r="N10" s="194">
        <v>12</v>
      </c>
      <c r="O10" s="194">
        <v>10</v>
      </c>
      <c r="P10" s="194">
        <v>6</v>
      </c>
      <c r="Q10" s="194">
        <v>3</v>
      </c>
      <c r="R10" s="194">
        <v>64</v>
      </c>
      <c r="S10" s="194">
        <v>62</v>
      </c>
      <c r="T10" s="194">
        <v>36</v>
      </c>
      <c r="U10" s="194">
        <v>38</v>
      </c>
      <c r="V10" s="194">
        <v>59</v>
      </c>
      <c r="W10" s="194">
        <v>19</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62</v>
      </c>
      <c r="AZ10" s="139">
        <f t="shared" si="0"/>
        <v>36</v>
      </c>
      <c r="BA10" s="139">
        <f t="shared" si="0"/>
        <v>38</v>
      </c>
      <c r="BB10" s="139">
        <f t="shared" si="0"/>
        <v>59</v>
      </c>
      <c r="BC10" s="135">
        <f t="shared" si="0"/>
        <v>19</v>
      </c>
      <c r="BD10" s="136">
        <f>IF(ISNUMBER(BA10/AZ10),BA10/AZ10," - ")</f>
        <v>1.0555555555555556</v>
      </c>
      <c r="BE10" s="137">
        <f>IF(ISNUMBER(BB10/BA10),BB10/BA10, " - ")</f>
        <v>1.5526315789473684</v>
      </c>
      <c r="BF10" s="137">
        <f>IF(ISNUMBER(BC10/BA10),BC10/BA10, " - ")</f>
        <v>0.5</v>
      </c>
      <c r="BG10" s="209">
        <f>IF(ISNUMBER((AY10+AZ10)/BA10),(AY10+AZ10)/BA10," - ")</f>
        <v>2.5789473684210527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0</v>
      </c>
      <c r="K12" s="196">
        <v>0</v>
      </c>
      <c r="L12" s="196">
        <v>0</v>
      </c>
      <c r="M12" s="196">
        <v>0</v>
      </c>
      <c r="N12" s="196">
        <v>0</v>
      </c>
      <c r="O12" s="194">
        <v>0</v>
      </c>
      <c r="P12" s="196">
        <v>0</v>
      </c>
      <c r="Q12" s="196">
        <v>82</v>
      </c>
      <c r="R12" s="196">
        <v>799</v>
      </c>
      <c r="S12" s="196">
        <v>1</v>
      </c>
      <c r="T12" s="196">
        <v>0</v>
      </c>
      <c r="U12" s="196">
        <v>0</v>
      </c>
      <c r="V12" s="196">
        <v>1</v>
      </c>
      <c r="W12" s="196">
        <v>0</v>
      </c>
      <c r="X12" s="202">
        <v>0</v>
      </c>
      <c r="Y12" s="204">
        <v>1</v>
      </c>
      <c r="Z12" s="194">
        <v>0</v>
      </c>
      <c r="AA12" s="194">
        <v>0</v>
      </c>
      <c r="AB12" s="194">
        <v>1</v>
      </c>
      <c r="AC12" s="196">
        <v>0</v>
      </c>
      <c r="AD12" s="196">
        <v>0</v>
      </c>
      <c r="AE12" s="196">
        <v>0</v>
      </c>
      <c r="AF12" s="202">
        <v>0</v>
      </c>
      <c r="AG12" s="215">
        <v>1</v>
      </c>
      <c r="AH12" s="196">
        <v>0</v>
      </c>
      <c r="AI12" s="196">
        <v>0</v>
      </c>
      <c r="AJ12" s="216">
        <v>1</v>
      </c>
      <c r="AK12" s="195">
        <v>0</v>
      </c>
      <c r="AL12" s="196">
        <v>0</v>
      </c>
      <c r="AM12" s="196">
        <v>0</v>
      </c>
      <c r="AN12" s="202">
        <v>0</v>
      </c>
      <c r="AO12" s="283">
        <v>0</v>
      </c>
      <c r="AP12" s="168">
        <v>0</v>
      </c>
      <c r="AQ12" s="168">
        <v>0</v>
      </c>
      <c r="AR12" s="167">
        <v>0</v>
      </c>
      <c r="AS12" s="381" t="s">
        <v>1067</v>
      </c>
      <c r="AT12" s="216"/>
      <c r="AU12" s="215"/>
      <c r="AV12" s="216"/>
      <c r="AW12" s="215"/>
      <c r="AX12" s="216"/>
      <c r="AY12" s="136">
        <f t="shared" si="1"/>
        <v>2</v>
      </c>
      <c r="AZ12" s="137">
        <f t="shared" si="1"/>
        <v>0</v>
      </c>
      <c r="BA12" s="137">
        <f t="shared" si="1"/>
        <v>0</v>
      </c>
      <c r="BB12" s="137">
        <f t="shared" si="1"/>
        <v>2</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12016</v>
      </c>
      <c r="J14" s="197">
        <f t="shared" si="7"/>
        <v>2666</v>
      </c>
      <c r="K14" s="197">
        <f t="shared" si="7"/>
        <v>2149</v>
      </c>
      <c r="L14" s="197">
        <f t="shared" si="7"/>
        <v>12532</v>
      </c>
      <c r="M14" s="197">
        <f t="shared" si="7"/>
        <v>547</v>
      </c>
      <c r="N14" s="197">
        <f t="shared" si="7"/>
        <v>811</v>
      </c>
      <c r="O14" s="197">
        <f t="shared" si="7"/>
        <v>1000</v>
      </c>
      <c r="P14" s="197">
        <f t="shared" si="7"/>
        <v>481</v>
      </c>
      <c r="Q14" s="197">
        <f t="shared" si="7"/>
        <v>463</v>
      </c>
      <c r="R14" s="197">
        <f t="shared" si="7"/>
        <v>11624</v>
      </c>
      <c r="S14" s="197">
        <f t="shared" si="7"/>
        <v>9335</v>
      </c>
      <c r="T14" s="197">
        <f t="shared" si="7"/>
        <v>2717</v>
      </c>
      <c r="U14" s="197">
        <f t="shared" si="7"/>
        <v>2134</v>
      </c>
      <c r="V14" s="197">
        <f t="shared" si="7"/>
        <v>9917</v>
      </c>
      <c r="W14" s="197">
        <f t="shared" si="7"/>
        <v>588</v>
      </c>
      <c r="X14" s="197">
        <f t="shared" si="7"/>
        <v>769</v>
      </c>
      <c r="Y14" s="197">
        <f t="shared" si="7"/>
        <v>350</v>
      </c>
      <c r="Z14" s="197">
        <f t="shared" si="7"/>
        <v>99</v>
      </c>
      <c r="AA14" s="197">
        <f t="shared" si="7"/>
        <v>91</v>
      </c>
      <c r="AB14" s="197">
        <f t="shared" si="7"/>
        <v>358</v>
      </c>
      <c r="AC14" s="197">
        <f t="shared" si="7"/>
        <v>0</v>
      </c>
      <c r="AD14" s="197">
        <f t="shared" si="7"/>
        <v>0</v>
      </c>
      <c r="AE14" s="197">
        <f t="shared" si="7"/>
        <v>0</v>
      </c>
      <c r="AF14" s="197">
        <f>SUBTOTAL(9,AF9:AF13)</f>
        <v>0</v>
      </c>
      <c r="AG14" s="197">
        <f t="shared" ref="AG14:AT14" si="8">SUBTOTAL(9,AG8:AG13)</f>
        <v>310</v>
      </c>
      <c r="AH14" s="197">
        <f t="shared" si="8"/>
        <v>122</v>
      </c>
      <c r="AI14" s="197">
        <f t="shared" si="8"/>
        <v>147</v>
      </c>
      <c r="AJ14" s="197">
        <f t="shared" si="8"/>
        <v>285</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9645</v>
      </c>
      <c r="AZ14" s="197">
        <f>SUBTOTAL(9,AZ8:AZ13)</f>
        <v>2839</v>
      </c>
      <c r="BA14" s="197">
        <f>SUBTOTAL(9,BA8:BA13)</f>
        <v>2281</v>
      </c>
      <c r="BB14" s="197">
        <f>SUBTOTAL(9,BB8:BB13)</f>
        <v>10202</v>
      </c>
      <c r="BC14" s="197">
        <f>SUBTOTAL(9,BC8:BC13)</f>
        <v>774</v>
      </c>
      <c r="BD14" s="219">
        <f>IF(ISNUMBER(BA14/AZ14),BA14/AZ14," - ")</f>
        <v>0.80345191969003171</v>
      </c>
      <c r="BE14" s="220">
        <f>IF(ISNUMBER(BB14/BA14),BB14/BA14, " - ")</f>
        <v>4.4725997369574744</v>
      </c>
      <c r="BF14" s="220">
        <f>IF(ISNUMBER(BC14/BA14),BC14/BA14, " - ")</f>
        <v>0.33932485751863217</v>
      </c>
      <c r="BG14" s="221">
        <f>IF(ISNUMBER((AY14+AZ14)/BA14),(AY14+AZ14)/BA14," - ")</f>
        <v>5.4730381411661551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3454</v>
      </c>
      <c r="J16" s="196">
        <v>2644</v>
      </c>
      <c r="K16" s="196">
        <v>2611</v>
      </c>
      <c r="L16" s="196">
        <v>3517</v>
      </c>
      <c r="M16" s="196">
        <v>469</v>
      </c>
      <c r="N16" s="196">
        <v>1714</v>
      </c>
      <c r="O16" s="194">
        <v>47</v>
      </c>
      <c r="P16" s="196">
        <v>87</v>
      </c>
      <c r="Q16" s="196">
        <v>60</v>
      </c>
      <c r="R16" s="196">
        <v>329</v>
      </c>
      <c r="S16" s="196">
        <v>2923</v>
      </c>
      <c r="T16" s="196">
        <v>2949</v>
      </c>
      <c r="U16" s="196">
        <v>2957</v>
      </c>
      <c r="V16" s="196">
        <v>3254</v>
      </c>
      <c r="W16" s="196">
        <v>327</v>
      </c>
      <c r="X16" s="202">
        <v>2032</v>
      </c>
      <c r="Y16" s="215">
        <v>0</v>
      </c>
      <c r="Z16" s="196">
        <v>0</v>
      </c>
      <c r="AA16" s="196">
        <v>0</v>
      </c>
      <c r="AB16" s="196">
        <v>0</v>
      </c>
      <c r="AC16" s="196">
        <v>28</v>
      </c>
      <c r="AD16" s="196">
        <v>111</v>
      </c>
      <c r="AE16" s="196">
        <v>109</v>
      </c>
      <c r="AF16" s="202">
        <v>30</v>
      </c>
      <c r="AG16" s="215">
        <v>0</v>
      </c>
      <c r="AH16" s="196">
        <v>0</v>
      </c>
      <c r="AI16" s="196">
        <v>0</v>
      </c>
      <c r="AJ16" s="216">
        <v>0</v>
      </c>
      <c r="AK16" s="195">
        <v>16</v>
      </c>
      <c r="AL16" s="196">
        <v>62</v>
      </c>
      <c r="AM16" s="196">
        <v>73</v>
      </c>
      <c r="AN16" s="202">
        <v>5</v>
      </c>
      <c r="AO16" s="283">
        <v>4</v>
      </c>
      <c r="AP16" s="168">
        <v>4</v>
      </c>
      <c r="AQ16" s="168">
        <v>4</v>
      </c>
      <c r="AR16" s="168">
        <v>4</v>
      </c>
      <c r="AS16" s="381" t="s">
        <v>694</v>
      </c>
      <c r="AT16" s="216" t="s">
        <v>424</v>
      </c>
      <c r="AU16" s="215"/>
      <c r="AV16" s="216"/>
      <c r="AW16" s="215"/>
      <c r="AX16" s="216"/>
      <c r="AY16" s="138">
        <f t="shared" ref="AY16:BB17" si="10">IF(ISNUMBER(IF(D_I="SI",S16,S16+AK16)),IF(D_I="SI",S16,S16+AK16)," - ")</f>
        <v>2923</v>
      </c>
      <c r="AZ16" s="139">
        <f t="shared" si="10"/>
        <v>2949</v>
      </c>
      <c r="BA16" s="139">
        <f t="shared" si="10"/>
        <v>2957</v>
      </c>
      <c r="BB16" s="139">
        <f t="shared" si="10"/>
        <v>3254</v>
      </c>
      <c r="BC16" s="135">
        <f>IF(ISNUMBER(W16),W16," - ")</f>
        <v>327</v>
      </c>
      <c r="BD16" s="136">
        <f>IF(ISNUMBER(BA16/AZ16),BA16/AZ16," - ")</f>
        <v>1.0027127839945744</v>
      </c>
      <c r="BE16" s="137">
        <f>IF(ISNUMBER(BB16/BA16),BB16/BA16, " - ")</f>
        <v>1.1004396347649645</v>
      </c>
      <c r="BF16" s="137">
        <f>IF(ISNUMBER(BC16/BA16),BC16/BA16, " - ")</f>
        <v>0.11058505241799121</v>
      </c>
      <c r="BG16" s="209">
        <f t="shared" ref="BG16:BG22" si="11">IF(ISNUMBER((AY16+AZ16)/BA16),(AY16+AZ16)/BA16," - ")</f>
        <v>1.9857964152857626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v>
      </c>
      <c r="J17" s="196">
        <v>1</v>
      </c>
      <c r="K17" s="196">
        <v>1</v>
      </c>
      <c r="L17" s="196">
        <v>8</v>
      </c>
      <c r="M17" s="196">
        <v>0</v>
      </c>
      <c r="N17" s="196">
        <v>0</v>
      </c>
      <c r="O17" s="194">
        <v>0</v>
      </c>
      <c r="P17" s="196">
        <v>0</v>
      </c>
      <c r="Q17" s="196">
        <v>0</v>
      </c>
      <c r="R17" s="196">
        <v>0</v>
      </c>
      <c r="S17" s="196">
        <v>8</v>
      </c>
      <c r="T17" s="196">
        <v>0</v>
      </c>
      <c r="U17" s="196">
        <v>0</v>
      </c>
      <c r="V17" s="196">
        <v>8</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8</v>
      </c>
      <c r="AZ17" s="137">
        <f t="shared" si="10"/>
        <v>0</v>
      </c>
      <c r="BA17" s="137">
        <f t="shared" si="10"/>
        <v>0</v>
      </c>
      <c r="BB17" s="137">
        <f t="shared" si="10"/>
        <v>8</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188</v>
      </c>
      <c r="J18" s="196">
        <v>247</v>
      </c>
      <c r="K18" s="196">
        <v>217</v>
      </c>
      <c r="L18" s="196">
        <v>218</v>
      </c>
      <c r="M18" s="196">
        <v>68</v>
      </c>
      <c r="N18" s="196">
        <v>88</v>
      </c>
      <c r="O18" s="196">
        <v>12</v>
      </c>
      <c r="P18" s="196">
        <v>5</v>
      </c>
      <c r="Q18" s="196">
        <v>14</v>
      </c>
      <c r="R18" s="196">
        <v>0</v>
      </c>
      <c r="S18" s="196">
        <v>204</v>
      </c>
      <c r="T18" s="196">
        <v>234</v>
      </c>
      <c r="U18" s="196">
        <v>232</v>
      </c>
      <c r="V18" s="196">
        <v>189</v>
      </c>
      <c r="W18" s="196">
        <v>45</v>
      </c>
      <c r="X18" s="202">
        <v>162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204</v>
      </c>
      <c r="AZ18" s="139">
        <f t="shared" si="15"/>
        <v>234</v>
      </c>
      <c r="BA18" s="139">
        <f t="shared" si="15"/>
        <v>232</v>
      </c>
      <c r="BB18" s="139">
        <f t="shared" si="15"/>
        <v>189</v>
      </c>
      <c r="BC18" s="135">
        <f>IF(ISNUMBER(W18),W18," - ")</f>
        <v>45</v>
      </c>
      <c r="BD18" s="136">
        <f>IF(ISNUMBER(BA18/AZ18),BA18/AZ18," - ")</f>
        <v>0.99145299145299148</v>
      </c>
      <c r="BE18" s="137">
        <f>IF(ISNUMBER(BB18/BA18),BB18/BA18, " - ")</f>
        <v>0.81465517241379315</v>
      </c>
      <c r="BF18" s="137">
        <f>IF(ISNUMBER(BC18/BA18),BC18/BA18, " - ")</f>
        <v>0.19396551724137931</v>
      </c>
      <c r="BG18" s="209">
        <f>IF(ISNUMBER((AY18+AZ18)/BA18),(AY18+AZ18)/BA18," - ")</f>
        <v>1.8879310344827587</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3650</v>
      </c>
      <c r="J23" s="197">
        <f t="shared" si="21"/>
        <v>2892</v>
      </c>
      <c r="K23" s="197">
        <f t="shared" si="21"/>
        <v>2829</v>
      </c>
      <c r="L23" s="197">
        <f t="shared" si="21"/>
        <v>3743</v>
      </c>
      <c r="M23" s="197">
        <f t="shared" si="21"/>
        <v>537</v>
      </c>
      <c r="N23" s="197">
        <f t="shared" si="21"/>
        <v>1802</v>
      </c>
      <c r="O23" s="197">
        <f t="shared" si="21"/>
        <v>59</v>
      </c>
      <c r="P23" s="197">
        <f t="shared" si="21"/>
        <v>92</v>
      </c>
      <c r="Q23" s="197">
        <f t="shared" si="21"/>
        <v>74</v>
      </c>
      <c r="R23" s="197">
        <f t="shared" si="21"/>
        <v>329</v>
      </c>
      <c r="S23" s="197">
        <f t="shared" si="21"/>
        <v>3135</v>
      </c>
      <c r="T23" s="197">
        <f t="shared" si="21"/>
        <v>3183</v>
      </c>
      <c r="U23" s="197">
        <f t="shared" si="21"/>
        <v>3189</v>
      </c>
      <c r="V23" s="197">
        <f t="shared" si="21"/>
        <v>3451</v>
      </c>
      <c r="W23" s="197">
        <f t="shared" si="21"/>
        <v>372</v>
      </c>
      <c r="X23" s="197">
        <f t="shared" si="21"/>
        <v>2194</v>
      </c>
      <c r="Y23" s="197">
        <f t="shared" si="21"/>
        <v>0</v>
      </c>
      <c r="Z23" s="197">
        <f t="shared" si="21"/>
        <v>0</v>
      </c>
      <c r="AA23" s="197">
        <f t="shared" si="21"/>
        <v>0</v>
      </c>
      <c r="AB23" s="197">
        <f t="shared" si="21"/>
        <v>0</v>
      </c>
      <c r="AC23" s="197">
        <f t="shared" si="21"/>
        <v>28</v>
      </c>
      <c r="AD23" s="197">
        <f t="shared" si="21"/>
        <v>111</v>
      </c>
      <c r="AE23" s="197">
        <f t="shared" si="21"/>
        <v>109</v>
      </c>
      <c r="AF23" s="197">
        <f t="shared" si="21"/>
        <v>30</v>
      </c>
      <c r="AG23" s="197">
        <f t="shared" si="21"/>
        <v>0</v>
      </c>
      <c r="AH23" s="197">
        <f t="shared" si="21"/>
        <v>0</v>
      </c>
      <c r="AI23" s="197">
        <f t="shared" si="21"/>
        <v>0</v>
      </c>
      <c r="AJ23" s="197">
        <f t="shared" si="21"/>
        <v>0</v>
      </c>
      <c r="AK23" s="197">
        <f t="shared" si="21"/>
        <v>16</v>
      </c>
      <c r="AL23" s="197">
        <f t="shared" si="21"/>
        <v>62</v>
      </c>
      <c r="AM23" s="197">
        <f t="shared" si="21"/>
        <v>73</v>
      </c>
      <c r="AN23" s="197">
        <f t="shared" si="21"/>
        <v>5</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3135</v>
      </c>
      <c r="AZ23" s="197">
        <f>SUBTOTAL(9,AZ15:AZ22)</f>
        <v>3183</v>
      </c>
      <c r="BA23" s="197">
        <f>SUBTOTAL(9,BA15:BA22)</f>
        <v>3189</v>
      </c>
      <c r="BB23" s="197">
        <f>SUBTOTAL(9,BB15:BB22)</f>
        <v>3451</v>
      </c>
      <c r="BC23" s="197">
        <f>SUBTOTAL(9,BC15:BC22)</f>
        <v>372</v>
      </c>
      <c r="BD23" s="219">
        <f>IF(ISNUMBER(BA23/AZ23),BA23/AZ23," - ")</f>
        <v>1.0018850141376061</v>
      </c>
      <c r="BE23" s="220">
        <f>IF(ISNUMBER(BB23/BA23),BB23/BA23, " - ")</f>
        <v>1.0821574161179053</v>
      </c>
      <c r="BF23" s="220">
        <f>IF(ISNUMBER(BC23/BA23),BC23/BA23, " - ")</f>
        <v>0.11665098777046096</v>
      </c>
      <c r="BG23" s="221">
        <f>IF(ISNUMBER((AY23+AZ23)/BA23),(AY23+AZ23)/BA23," - ")</f>
        <v>1.9811853245531514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15666</v>
      </c>
      <c r="J31" s="144">
        <f t="shared" si="36"/>
        <v>5558</v>
      </c>
      <c r="K31" s="144">
        <f t="shared" si="36"/>
        <v>4978</v>
      </c>
      <c r="L31" s="144">
        <f t="shared" si="36"/>
        <v>16275</v>
      </c>
      <c r="M31" s="144">
        <f t="shared" si="36"/>
        <v>1084</v>
      </c>
      <c r="N31" s="144">
        <f t="shared" si="36"/>
        <v>2613</v>
      </c>
      <c r="O31" s="144">
        <f t="shared" si="36"/>
        <v>1059</v>
      </c>
      <c r="P31" s="144">
        <f t="shared" si="36"/>
        <v>573</v>
      </c>
      <c r="Q31" s="144">
        <f t="shared" si="36"/>
        <v>537</v>
      </c>
      <c r="R31" s="144">
        <f t="shared" si="36"/>
        <v>11953</v>
      </c>
      <c r="S31" s="144">
        <f t="shared" si="36"/>
        <v>12470</v>
      </c>
      <c r="T31" s="144">
        <f t="shared" si="36"/>
        <v>5900</v>
      </c>
      <c r="U31" s="144">
        <f t="shared" si="36"/>
        <v>5323</v>
      </c>
      <c r="V31" s="144">
        <f t="shared" si="36"/>
        <v>13368</v>
      </c>
      <c r="W31" s="144">
        <f t="shared" si="36"/>
        <v>960</v>
      </c>
      <c r="X31" s="144">
        <f t="shared" si="36"/>
        <v>2963</v>
      </c>
      <c r="Y31" s="144">
        <f t="shared" si="36"/>
        <v>350</v>
      </c>
      <c r="Z31" s="144">
        <f t="shared" si="36"/>
        <v>99</v>
      </c>
      <c r="AA31" s="144">
        <f t="shared" si="36"/>
        <v>91</v>
      </c>
      <c r="AB31" s="144">
        <f t="shared" si="36"/>
        <v>358</v>
      </c>
      <c r="AC31" s="144">
        <f t="shared" si="36"/>
        <v>28</v>
      </c>
      <c r="AD31" s="144">
        <f t="shared" si="36"/>
        <v>111</v>
      </c>
      <c r="AE31" s="144">
        <f t="shared" si="36"/>
        <v>109</v>
      </c>
      <c r="AF31" s="144">
        <f t="shared" si="36"/>
        <v>30</v>
      </c>
      <c r="AG31" s="144">
        <f t="shared" si="36"/>
        <v>310</v>
      </c>
      <c r="AH31" s="144">
        <f t="shared" si="36"/>
        <v>122</v>
      </c>
      <c r="AI31" s="144">
        <f t="shared" si="36"/>
        <v>147</v>
      </c>
      <c r="AJ31" s="144">
        <f t="shared" si="36"/>
        <v>285</v>
      </c>
      <c r="AK31" s="144">
        <f t="shared" si="36"/>
        <v>16</v>
      </c>
      <c r="AL31" s="144">
        <f t="shared" si="36"/>
        <v>62</v>
      </c>
      <c r="AM31" s="144">
        <f t="shared" si="36"/>
        <v>73</v>
      </c>
      <c r="AN31" s="224">
        <f t="shared" si="36"/>
        <v>5</v>
      </c>
      <c r="AO31" s="225">
        <v>11</v>
      </c>
      <c r="AP31" s="225">
        <v>11</v>
      </c>
      <c r="AQ31" s="225">
        <v>11</v>
      </c>
      <c r="AR31" s="225">
        <v>11</v>
      </c>
      <c r="AS31" s="166">
        <f t="shared" si="36"/>
        <v>0</v>
      </c>
      <c r="AT31" s="166">
        <f t="shared" si="36"/>
        <v>0</v>
      </c>
      <c r="AU31" s="225"/>
      <c r="AV31" s="226"/>
      <c r="AW31" s="225"/>
      <c r="AX31" s="226"/>
      <c r="AY31" s="143">
        <f>SUBTOTAL(9,AY9:AY30)</f>
        <v>12780</v>
      </c>
      <c r="AZ31" s="144">
        <f>SUBTOTAL(9,AZ9:AZ30)</f>
        <v>6022</v>
      </c>
      <c r="BA31" s="144">
        <f>SUBTOTAL(9,BA9:BA30)</f>
        <v>5470</v>
      </c>
      <c r="BB31" s="144">
        <f>SUBTOTAL(9,BB9:BB30)</f>
        <v>13653</v>
      </c>
      <c r="BC31" s="145">
        <f>SUBTOTAL(9,BC9:BC30)</f>
        <v>1146</v>
      </c>
      <c r="BD31" s="227">
        <f>IF(ISNUMBER(BA31/AZ31),BA31/AZ31," - ")</f>
        <v>0.90833610096313522</v>
      </c>
      <c r="BE31" s="224">
        <f>IF(ISNUMBER(BB31/BA31),BB31/BA31, " - ")</f>
        <v>2.4959780621572212</v>
      </c>
      <c r="BF31" s="224">
        <f>IF(ISNUMBER(BC31/BA31),BC31/BA31, " - ")</f>
        <v>0.20950639853747716</v>
      </c>
      <c r="BG31" s="145">
        <f>IF(ISNUMBER((AY31+AZ31)/BA31),(AY31+AZ31)/BA31," - ")</f>
        <v>3.4372943327239489</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vhJZD4jmpHm/obWNMycPFoVjaOCuJVQ5wCoyR9jVEIddewPyTn2v52fDdw/XZOxQHMah4e+2+LZ5joeYI7txw==" saltValue="LfAidtqHqee947bTQOr4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k9LbGMmq9YlqH1IpgJ8Pm5lMJT27zYjSbcPvELKtSh6ynbKftWTkXFsW+3TTQYo07yqa8nCSPWRmDVYSKUIPA==" saltValue="tytXH+pn2K7Fdz1ojPu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ARONA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99</v>
      </c>
      <c r="O9" s="549"/>
      <c r="P9" s="549"/>
      <c r="Q9" s="547">
        <f>IF(ISNUMBER(Datos!P9),Datos!P9,0)</f>
        <v>475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378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357</v>
      </c>
      <c r="AI9" s="549" t="str">
        <f>IF(ISNUMBER(Datos!CD9),Datos!CD9,"-")</f>
        <v>-</v>
      </c>
      <c r="AJ9" s="549" t="str">
        <f>IF(ISNUMBER(Datos!EN9),Datos!EN9," - ")</f>
        <v xml:space="preserve"> - </v>
      </c>
      <c r="AK9" s="549"/>
      <c r="AL9" s="550"/>
      <c r="AM9" s="766">
        <f>IF(ISNUMBER(Datos!R9),Datos!R9," - ")</f>
        <v>10761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533</v>
      </c>
      <c r="BD9" s="693">
        <f>IF(ISNUMBER(Datos!N9),Datos!N9," - ")</f>
        <v>799</v>
      </c>
      <c r="BE9" s="693" t="str">
        <f>IF(ISNUMBER(Datos!BW9),Datos!BW9," - ")</f>
        <v xml:space="preserve"> - </v>
      </c>
      <c r="BF9" s="762" t="str">
        <f>IF(ISNUMBER(Datos!BX9),Datos!BX9," - ")</f>
        <v xml:space="preserve"> - </v>
      </c>
      <c r="BG9" s="763">
        <f>IF(ISNUMBER(IF(J_V="SI",Datos!K9/Datos!J9,(Datos!K9+Datos!AA9)/(Datos!J9+Datos!Z9))),IF(J_V="SI",Datos!K9/Datos!J9,(Datos!K9+Datos!AA9)/(Datos!J9+Datos!Z9))," - ")</f>
        <v>0.80518059102517325</v>
      </c>
      <c r="BH9" s="764">
        <f>IF(ISNUMBER(((IF(J_V="SI",Datos!L9/Datos!K9,(Datos!L9+Datos!AB9)/(Datos!K9+Datos!AA9)))*11)/factor_trimestre),((IF(J_V="SI",Datos!L9/Datos!K9,(Datos!L9+Datos!AB9)/(Datos!K9+Datos!AA9)))*11)/factor_trimestre," - ")</f>
        <v>17.468509288627093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9.0960240060015008E-3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47</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3</v>
      </c>
      <c r="AD10" s="549"/>
      <c r="AE10" s="563"/>
      <c r="AF10" s="551">
        <f>IF(ISNUMBER(Datos!L10),Datos!L10,"-")</f>
        <v>38</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12</v>
      </c>
      <c r="BE10" s="693" t="str">
        <f>IF(ISNUMBER(Datos!BW10),Datos!BW10," - ")</f>
        <v xml:space="preserve"> - </v>
      </c>
      <c r="BF10" s="762" t="str">
        <f>IF(ISNUMBER(Datos!BX10),Datos!BX10," - ")</f>
        <v xml:space="preserve"> - </v>
      </c>
      <c r="BG10" s="763">
        <f>IF(ISNUMBER(Datos!K10/Datos!J10),Datos!K10/Datos!J10," - ")</f>
        <v>1.375</v>
      </c>
      <c r="BH10" s="764">
        <f>IF(ISNUMBER(((Datos!L10/Datos!K10)*11)/factor_trimestre),((Datos!L10/Datos!K10)*11)/factor_trimestre," - ")</f>
        <v>3.454545454545455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4.9180327868852458E-2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799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-9.3076049943246308E-2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47</v>
      </c>
      <c r="G14" s="1197">
        <f t="shared" si="1"/>
        <v>47</v>
      </c>
      <c r="H14" s="1198">
        <f t="shared" si="1"/>
        <v>0</v>
      </c>
      <c r="I14" s="1197">
        <f t="shared" si="1"/>
        <v>0</v>
      </c>
      <c r="J14" s="1164">
        <f t="shared" si="1"/>
        <v>0</v>
      </c>
      <c r="K14" s="1164">
        <f t="shared" si="1"/>
        <v>0</v>
      </c>
      <c r="L14" s="1198">
        <f t="shared" si="1"/>
        <v>0</v>
      </c>
      <c r="M14" s="1198">
        <f t="shared" si="1"/>
        <v>0</v>
      </c>
      <c r="N14" s="1198">
        <f t="shared" si="1"/>
        <v>99</v>
      </c>
      <c r="O14" s="1199">
        <f t="shared" si="1"/>
        <v>0</v>
      </c>
      <c r="P14" s="1199">
        <f t="shared" si="1"/>
        <v>0</v>
      </c>
      <c r="Q14" s="1198">
        <f t="shared" si="1"/>
        <v>481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463</v>
      </c>
      <c r="AD14" s="1198">
        <f t="shared" si="2"/>
        <v>0</v>
      </c>
      <c r="AE14" s="1198">
        <f t="shared" si="2"/>
        <v>0</v>
      </c>
      <c r="AF14" s="1198">
        <f t="shared" si="2"/>
        <v>38</v>
      </c>
      <c r="AG14" s="1198">
        <f t="shared" si="2"/>
        <v>0</v>
      </c>
      <c r="AH14" s="1198">
        <f t="shared" si="2"/>
        <v>358</v>
      </c>
      <c r="AI14" s="1198">
        <f t="shared" si="2"/>
        <v>0</v>
      </c>
      <c r="AJ14" s="1198">
        <f t="shared" si="2"/>
        <v>0</v>
      </c>
      <c r="AK14" s="1198">
        <f t="shared" si="2"/>
        <v>0</v>
      </c>
      <c r="AL14" s="1198">
        <f t="shared" si="2"/>
        <v>0</v>
      </c>
      <c r="AM14" s="1198">
        <f t="shared" si="2"/>
        <v>11624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547</v>
      </c>
      <c r="BD14" s="1198">
        <f t="shared" si="2"/>
        <v>811</v>
      </c>
      <c r="BE14" s="1198">
        <f t="shared" si="2"/>
        <v>0</v>
      </c>
      <c r="BF14" s="1198">
        <f t="shared" si="2"/>
        <v>0</v>
      </c>
      <c r="BG14" s="1198">
        <f>IF(ISNUMBER(Datos!K14/Datos!J14),Datos!K14/Datos!J14," - ")</f>
        <v>0.8060765191297824</v>
      </c>
      <c r="BH14" s="1202">
        <f>IF(ISNUMBER(((Datos!L14/Datos!K14)*11)/factor_trimestre),((Datos!L14/Datos!K14)*11)/factor_trimestre," - ")</f>
        <v>17.49464867380177</v>
      </c>
      <c r="BI14" s="1198">
        <f>IF(ISNUMBER('Resol  Asuntos'!D14/NºAsuntos!G14),'Resol  Asuntos'!D14/NºAsuntos!G14," - ")</f>
        <v>0.24419642857142856</v>
      </c>
      <c r="BJ14" s="1198" t="str">
        <f>IF(ISNUMBER(Datos!CI14/Datos!CJ14),Datos!CI14/Datos!CJ14," - ")</f>
        <v xml:space="preserve"> - </v>
      </c>
      <c r="BK14" s="1198">
        <f>SUBTOTAL(9,BK8:BK13)</f>
        <v>0</v>
      </c>
      <c r="BL14" s="1198">
        <f>IF(ISNUMBER((I14-AB14+L14)/(F14)),(I14-AB14+L14)/(F14)," - ")</f>
        <v>-0.7021276595744681</v>
      </c>
      <c r="BM14" s="1203">
        <f>SUBTOTAL(9,BM9:BM13)</f>
        <v>-3.4799698068392351E-2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3484</v>
      </c>
      <c r="G16" s="743">
        <f>IF(ISNUMBER(IF(D_I="SI",Datos!I16,Datos!I16+Datos!AC16)),IF(D_I="SI",Datos!I16,Datos!I16+Datos!AC16)," - ")</f>
        <v>3454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2611</v>
      </c>
      <c r="AC16" s="240">
        <f>IF(ISNUMBER(Datos!Q16),Datos!Q16," - ")</f>
        <v>60</v>
      </c>
      <c r="AD16" s="374"/>
      <c r="AE16" s="562"/>
      <c r="AF16" s="741">
        <f>IF(ISNUMBER(IF(D_I="SI",Datos!L16,Datos!L16+Datos!AF16)),IF(D_I="SI",Datos!L16,Datos!L16+Datos!AF16)," - ")</f>
        <v>3517</v>
      </c>
      <c r="AG16" s="374"/>
      <c r="AH16" s="374"/>
      <c r="AI16" s="374"/>
      <c r="AJ16" s="549"/>
      <c r="AK16" s="374"/>
      <c r="AL16" s="545"/>
      <c r="AM16" s="375">
        <f>IF(ISNUMBER(Datos!R16),Datos!R16," - ")</f>
        <v>329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469</v>
      </c>
      <c r="BD16" s="243">
        <f>IF(ISNUMBER(Datos!N16),Datos!N16," - ")</f>
        <v>1714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0.98751891074130105</v>
      </c>
      <c r="BH16" s="764">
        <f>IF(ISNUMBER(((IF(D_I="SI",Datos!L16/Datos!K16,(Datos!L16+Datos!AF16)/(Datos!K16+Datos!AE16)))*11)/factor_trimestre),((IF(D_I="SI",Datos!L16/Datos!K16,(Datos!L16+Datos!AF16)/(Datos!K16+Datos!AE16)))*11)/factor_trimestre," - ")</f>
        <v>4.0409804672539265</v>
      </c>
      <c r="BI16" s="266">
        <f>IF(ISNUMBER('Resol  Asuntos'!D16/NºAsuntos!G16),'Resol  Asuntos'!D16/NºAsuntos!G16," - ")</f>
        <v>0.17962466487935658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8</v>
      </c>
      <c r="G17" s="743">
        <f>IF(ISNUMBER(IF(D_I="SI",Datos!I17,Datos!I17+Datos!AC17)),IF(D_I="SI",Datos!I17,Datos!I17+Datos!AC17)," - ")</f>
        <v>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8</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24</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217</v>
      </c>
      <c r="AC18" s="547">
        <f>IF(ISNUMBER(Datos!Q18),Datos!Q18," - ")</f>
        <v>14</v>
      </c>
      <c r="AD18" s="549"/>
      <c r="AE18" s="562"/>
      <c r="AF18" s="551">
        <f>IF(ISNUMBER(Datos!L18),Datos!L18,"-")</f>
        <v>218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68</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0.87854251012145745</v>
      </c>
      <c r="BH18" s="764">
        <f>IF(ISNUMBER(((IF(D_I="SI",Datos!L18/Datos!K18,(Datos!L18+Datos!AF18)/(Datos!K18+Datos!AE18)))*11)/factor_trimestre),((IF(D_I="SI",Datos!L18/Datos!K18,(Datos!L18+Datos!AF18)/(Datos!K18+Datos!AE18)))*11)/factor_trimestre," - ")</f>
        <v>3.0138248847926268</v>
      </c>
      <c r="BI18" s="763">
        <f>IF(ISNUMBER('Resol  Asuntos'!D18/NºAsuntos!G18),'Resol  Asuntos'!D18/NºAsuntos!G18," - ")</f>
        <v>0.31336405529953915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3492</v>
      </c>
      <c r="G23" s="1197">
        <f>SUBTOTAL(9,G16:G22)</f>
        <v>3650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2829</v>
      </c>
      <c r="AC23" s="1198">
        <f t="shared" si="5"/>
        <v>74</v>
      </c>
      <c r="AD23" s="1198">
        <f t="shared" si="5"/>
        <v>0</v>
      </c>
      <c r="AE23" s="1198">
        <f t="shared" si="5"/>
        <v>0</v>
      </c>
      <c r="AF23" s="1198">
        <f t="shared" si="5"/>
        <v>3743</v>
      </c>
      <c r="AG23" s="1198">
        <f t="shared" si="5"/>
        <v>0</v>
      </c>
      <c r="AH23" s="1198">
        <f t="shared" si="5"/>
        <v>0</v>
      </c>
      <c r="AI23" s="1198">
        <f t="shared" si="5"/>
        <v>0</v>
      </c>
      <c r="AJ23" s="1198">
        <f t="shared" si="5"/>
        <v>0</v>
      </c>
      <c r="AK23" s="1198">
        <f t="shared" si="5"/>
        <v>0</v>
      </c>
      <c r="AL23" s="1198">
        <f t="shared" si="5"/>
        <v>0</v>
      </c>
      <c r="AM23" s="1198">
        <f t="shared" si="5"/>
        <v>329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537</v>
      </c>
      <c r="BD23" s="1198">
        <f t="shared" si="5"/>
        <v>1802</v>
      </c>
      <c r="BE23" s="1198">
        <f t="shared" si="5"/>
        <v>0</v>
      </c>
      <c r="BF23" s="1198">
        <f t="shared" si="5"/>
        <v>0</v>
      </c>
      <c r="BG23" s="1198">
        <f>IF(ISNUMBER(Datos!K23/Datos!J23),Datos!K23/Datos!J23," - ")</f>
        <v>0.97821576763485474</v>
      </c>
      <c r="BH23" s="1202">
        <f>IF(ISNUMBER(((Datos!L23/Datos!K23)*11)/factor_trimestre),((Datos!L23/Datos!K23)*11)/factor_trimestre," - ")</f>
        <v>3.9692470837751856</v>
      </c>
      <c r="BI23" s="1198">
        <f>SUBTOTAL(9,BI16:BI22)</f>
        <v>0.49298872017889572</v>
      </c>
      <c r="BJ23" s="1198">
        <f>SUBTOTAL(9,BJ16:BJ22)</f>
        <v>0</v>
      </c>
      <c r="BK23" s="1198">
        <f>SUBTOTAL(9,BK16:BK22)</f>
        <v>0</v>
      </c>
      <c r="BL23" s="1198">
        <f>IF(ISNUMBER((I23-AB23+L23)/(F23)),(I23-AB23+L23)/(F23)," - ")</f>
        <v>-0.81013745704467355</v>
      </c>
      <c r="BM23" s="1205">
        <f>IF(ISNUMBER((Datos!P23-Datos!Q23)/(Datos!R23-Datos!P23+Datos!Q23)),(Datos!P23-Datos!Q23)/(Datos!R23-Datos!P23+Datos!Q23)," - ")</f>
        <v>5.7877813504823149E-2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3539</v>
      </c>
      <c r="G31" s="1117">
        <f t="shared" si="18"/>
        <v>3697</v>
      </c>
      <c r="H31" s="1119">
        <f t="shared" si="18"/>
        <v>0</v>
      </c>
      <c r="I31" s="1117">
        <f t="shared" si="18"/>
        <v>0</v>
      </c>
      <c r="J31" s="1119">
        <f t="shared" si="18"/>
        <v>0</v>
      </c>
      <c r="K31" s="1119">
        <f t="shared" si="18"/>
        <v>0</v>
      </c>
      <c r="L31" s="1180">
        <f t="shared" si="18"/>
        <v>0</v>
      </c>
      <c r="M31" s="1180">
        <f t="shared" si="18"/>
        <v>0</v>
      </c>
      <c r="N31" s="1180">
        <f t="shared" si="18"/>
        <v>99</v>
      </c>
      <c r="O31" s="1180">
        <f t="shared" si="18"/>
        <v>0</v>
      </c>
      <c r="P31" s="1180">
        <f t="shared" si="18"/>
        <v>0</v>
      </c>
      <c r="Q31" s="1119">
        <f t="shared" si="18"/>
        <v>573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2862</v>
      </c>
      <c r="AC31" s="1118">
        <f t="shared" si="19"/>
        <v>537</v>
      </c>
      <c r="AD31" s="1118">
        <f t="shared" si="19"/>
        <v>0</v>
      </c>
      <c r="AE31" s="1118">
        <f t="shared" si="19"/>
        <v>0</v>
      </c>
      <c r="AF31" s="1125">
        <f t="shared" si="19"/>
        <v>3781</v>
      </c>
      <c r="AG31" s="1125">
        <f t="shared" si="19"/>
        <v>0</v>
      </c>
      <c r="AH31" s="1125">
        <f t="shared" si="19"/>
        <v>358</v>
      </c>
      <c r="AI31" s="1125">
        <f t="shared" si="19"/>
        <v>0</v>
      </c>
      <c r="AJ31" s="1118">
        <f t="shared" si="19"/>
        <v>0</v>
      </c>
      <c r="AK31" s="1125">
        <f t="shared" si="19"/>
        <v>0</v>
      </c>
      <c r="AL31" s="1125">
        <f t="shared" si="19"/>
        <v>0</v>
      </c>
      <c r="AM31" s="1125">
        <f t="shared" si="19"/>
        <v>11953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1084</v>
      </c>
      <c r="BD31" s="1117">
        <f t="shared" si="19"/>
        <v>2613</v>
      </c>
      <c r="BE31" s="1117">
        <f t="shared" si="19"/>
        <v>0</v>
      </c>
      <c r="BF31" s="1127">
        <f t="shared" si="19"/>
        <v>0</v>
      </c>
      <c r="BG31" s="1223">
        <f>IF(ISNUMBER(Datos!K31/Datos!J31),Datos!K31/Datos!J31," - ")</f>
        <v>0.89564591579704933</v>
      </c>
      <c r="BH31" s="1223">
        <f>IF(ISNUMBER(((Datos!L31/Datos!K31)*11)/factor_trimestre),((Datos!L31/Datos!K31)*11)/factor_trimestre," - ")</f>
        <v>9.8081558858979516</v>
      </c>
      <c r="BI31" s="1103">
        <f>IF(ISNUMBER(Datos!J31/Datos!I31),Datos!J31/Datos!I31," - ")</f>
        <v>0.35478105451295799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-0.80870302345295286</v>
      </c>
      <c r="BM31" s="1188">
        <f>IF(ISNUMBER((Datos!P31-Datos!Q31+R31)/(Datos!R31-Datos!P31+Datos!Q31-R31)),(Datos!P31-Datos!Q31+R31)/(Datos!R31-Datos!P31+Datos!Q31-R31)," - ")</f>
        <v>3.020894520432995E-3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924.25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1692.1353795890986</v>
      </c>
      <c r="G33" s="674">
        <f>IF(ISNUMBER(STDEV(G8:G30)),STDEV(G8:G30),"-")</f>
        <v>1623.8638885606849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1240.6396967463427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263.8235100298009</v>
      </c>
      <c r="BD33" s="673"/>
      <c r="BE33" s="673">
        <f>IF(ISNUMBER(STDEV(BE8:BE30)),STDEV(BE8:BE30),"-")</f>
        <v>0</v>
      </c>
      <c r="BF33" s="678">
        <f>IF(ISNUMBER(STDEV(BF8:BF30)),STDEV(BF8:BF30),"-")</f>
        <v>0</v>
      </c>
      <c r="BG33" s="1052">
        <f>IF(ISNUMBER(STDEV(BG8:BG30)),STDEV(BG8:BG30),"-")</f>
        <v>0.1947072632614828</v>
      </c>
      <c r="BH33" s="1058">
        <f>IF(ISNUMBER(STDEV(BH8:BH30)),STDEV(BH8:BH30),"-")</f>
        <v>8.8485936899089364</v>
      </c>
      <c r="BI33" s="273">
        <f>IF(ISNUMBER(STDEV(BI8:BI30)),STDEV(BI8:BI30),"-")</f>
        <v>0.18060057847235919</v>
      </c>
      <c r="BJ33" s="244" t="str">
        <f>IF(ISNUMBER(BL33/BM33),BL33/BM33," - ")</f>
        <v xml:space="preserve"> - </v>
      </c>
      <c r="BK33" s="709"/>
      <c r="BL33" s="681">
        <f>IF(ISNUMBER(STDEV(BL8:BL30)),STDEV(BL8:BL30),"-")</f>
        <v>7.6374460225767882E-2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TMIBiM0m68PaotjhCqlVdrJRC/2JcBONKIIZLNfTP3WaPvz4Eray1t5GH+Mu1S6XJrk49/d6ZjX21bd7YzSHA==" saltValue="uVQwIopvcXwJwgbhdv/L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ARONA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475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378</v>
      </c>
      <c r="AA9" s="551" t="str">
        <f>IF(ISNUMBER(IF(J_V="SI",Datos!L9,Datos!L9+Datos!AB9)-IF(Monitorios="SI",Datos!CD9,0)),
                          IF(J_V="SI",Datos!L9,Datos!L9+Datos!AB9)-IF(Monitorios="SI",Datos!CD9,0),
                          " - ")</f>
        <v xml:space="preserve"> - </v>
      </c>
      <c r="AB9" s="549"/>
      <c r="AC9" s="549"/>
      <c r="AD9" s="563"/>
      <c r="AE9" s="563">
        <f>IF(ISNUMBER(Datos!R9),Datos!R9," - ")</f>
        <v>10761</v>
      </c>
      <c r="AF9" s="693" t="str">
        <f>IF(ISNUMBER(Datos!BV9),Datos!BV9," - ")</f>
        <v xml:space="preserve"> - </v>
      </c>
      <c r="AG9" s="552" t="str">
        <f>IF(ISNUMBER(Datos!DV9),Datos!DV9," - ")</f>
        <v xml:space="preserve"> - </v>
      </c>
      <c r="AH9" s="553"/>
      <c r="AI9" s="554"/>
      <c r="AJ9" s="552">
        <f>IF(ISNUMBER(Datos!M9),Datos!M9," - ")</f>
        <v>533</v>
      </c>
      <c r="AK9" s="693">
        <f>IF(ISNUMBER(Datos!N9),Datos!N9," - ")</f>
        <v>799</v>
      </c>
      <c r="AL9" s="693" t="str">
        <f>IF(ISNUMBER(Datos!BW9),Datos!BW9," - ")</f>
        <v xml:space="preserve"> - </v>
      </c>
      <c r="AM9" s="762" t="str">
        <f>IF(ISNUMBER(Datos!BX9),Datos!BX9," - ")</f>
        <v xml:space="preserve"> - </v>
      </c>
      <c r="AN9" s="763"/>
      <c r="AO9" s="764">
        <f>IF(ISNUMBER(((NºAsuntos!I9/NºAsuntos!G9)*11)/factor_trimestre),((NºAsuntos!I9/NºAsuntos!G9)*11)/factor_trimestre," - ")</f>
        <v>17.468509288627093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9.0960240060015008E-3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47</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3</v>
      </c>
      <c r="AA10" s="551">
        <f>IF(ISNUMBER(Datos!L10),Datos!L10,"-")</f>
        <v>38</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14</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3.454545454545455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4.9180327868852458E-2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82</v>
      </c>
      <c r="AA12" s="551" t="str">
        <f>IF(ISNUMBER(IF(J_V="SI",Datos!L12,Datos!L12+Datos!AB12)-IF(Monitorios="SI",Datos!CD12,0)),
                          IF(J_V="SI",Datos!L12,Datos!L12+Datos!AB12)-IF(Monitorios="SI",Datos!CD12,0),
                          " - ")</f>
        <v xml:space="preserve"> - </v>
      </c>
      <c r="AB12" s="549"/>
      <c r="AC12" s="549"/>
      <c r="AD12" s="563"/>
      <c r="AE12" s="563">
        <f>IF(ISNUMBER(Datos!R12),Datos!R12," - ")</f>
        <v>799</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-9.3076049943246308E-2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47</v>
      </c>
      <c r="G14" s="1197">
        <f>SUBTOTAL(9,G8:G13)</f>
        <v>47</v>
      </c>
      <c r="H14" s="1211"/>
      <c r="I14" s="1197">
        <f t="shared" ref="I14:N14" si="1">SUBTOTAL(9,I8:I13)</f>
        <v>0</v>
      </c>
      <c r="J14" s="1164">
        <f t="shared" si="1"/>
        <v>0</v>
      </c>
      <c r="K14" s="1211">
        <f t="shared" si="1"/>
        <v>0</v>
      </c>
      <c r="L14" s="1211">
        <f t="shared" si="1"/>
        <v>0</v>
      </c>
      <c r="M14" s="1211">
        <f t="shared" si="1"/>
        <v>0</v>
      </c>
      <c r="N14" s="1211">
        <f t="shared" si="1"/>
        <v>481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463</v>
      </c>
      <c r="AA14" s="1199">
        <f t="shared" si="3"/>
        <v>38</v>
      </c>
      <c r="AB14" s="1199">
        <f t="shared" si="3"/>
        <v>0</v>
      </c>
      <c r="AC14" s="1199">
        <f t="shared" si="3"/>
        <v>0</v>
      </c>
      <c r="AD14" s="1199">
        <f t="shared" si="3"/>
        <v>0</v>
      </c>
      <c r="AE14" s="1199">
        <f t="shared" si="3"/>
        <v>11624</v>
      </c>
      <c r="AF14" s="1211">
        <f t="shared" si="3"/>
        <v>0</v>
      </c>
      <c r="AG14" s="1211">
        <f t="shared" si="3"/>
        <v>0</v>
      </c>
      <c r="AH14" s="1211">
        <f t="shared" si="3"/>
        <v>0</v>
      </c>
      <c r="AI14" s="1211">
        <f t="shared" si="3"/>
        <v>0</v>
      </c>
      <c r="AJ14" s="1211">
        <f t="shared" si="3"/>
        <v>547</v>
      </c>
      <c r="AK14" s="1211">
        <f t="shared" si="3"/>
        <v>811</v>
      </c>
      <c r="AL14" s="1211">
        <f t="shared" si="3"/>
        <v>0</v>
      </c>
      <c r="AM14" s="1211">
        <f t="shared" si="3"/>
        <v>0</v>
      </c>
      <c r="AN14" s="1211">
        <f t="shared" si="3"/>
        <v>0</v>
      </c>
      <c r="AO14" s="1203">
        <f>IF(ISNUMBER(((NºAsuntos!I14/NºAsuntos!G14)*11)/factor_trimestre),((NºAsuntos!I14/NºAsuntos!G14)*11)/factor_trimestre," - ")</f>
        <v>17.263392857142858</v>
      </c>
      <c r="AP14" s="1213" t="str">
        <f>IF(ISNUMBER(Datos!CI14/Datos!CJ14),Datos!CI14/Datos!CJ14," - ")</f>
        <v xml:space="preserve"> - </v>
      </c>
      <c r="AQ14" s="1236">
        <f t="shared" ref="AQ14:AV14" si="4">SUBTOTAL(9,AQ9:AQ13)</f>
        <v>0</v>
      </c>
      <c r="AR14" s="1236">
        <f t="shared" si="4"/>
        <v>-3.4799698068392351E-2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3484</v>
      </c>
      <c r="G16" s="552">
        <f>IF(ISNUMBER(IF(D_I="SI",Datos!I16,Datos!I16+Datos!AC16)),IF(D_I="SI",Datos!I16,Datos!I16+Datos!AC16)," - ")</f>
        <v>3454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2611</v>
      </c>
      <c r="Z16" s="805">
        <f>IF(ISNUMBER(Datos!Q16),Datos!Q16," - ")</f>
        <v>60</v>
      </c>
      <c r="AA16" s="551">
        <f>IF(ISNUMBER(IF(D_I="SI",Datos!L16,Datos!L16+Datos!AF16)),IF(D_I="SI",Datos!L16,Datos!L16+Datos!AF16)," - ")</f>
        <v>3517</v>
      </c>
      <c r="AB16" s="549"/>
      <c r="AC16" s="549"/>
      <c r="AD16" s="563"/>
      <c r="AE16" s="563">
        <f>IF(ISNUMBER(Datos!R16),Datos!R16," - ")</f>
        <v>329</v>
      </c>
      <c r="AF16" s="693" t="str">
        <f>IF(ISNUMBER(Datos!BV16),Datos!BV16," - ")</f>
        <v xml:space="preserve"> - </v>
      </c>
      <c r="AG16" s="552"/>
      <c r="AH16" s="553"/>
      <c r="AI16" s="554"/>
      <c r="AJ16" s="552">
        <f>IF(ISNUMBER(Datos!M16),Datos!M16," - ")</f>
        <v>469</v>
      </c>
      <c r="AK16" s="693">
        <f>IF(ISNUMBER(Datos!N16),Datos!N16," - ")</f>
        <v>1714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4.0409804672539265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8</v>
      </c>
      <c r="G17" s="552">
        <f>IF(ISNUMBER(IF(D_I="SI",Datos!I17,Datos!I17+Datos!AC17)),IF(D_I="SI",Datos!I17,Datos!I17+Datos!AC17)," - ")</f>
        <v>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8</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217</v>
      </c>
      <c r="Z18" s="805">
        <f>IF(ISNUMBER(Datos!Q18),Datos!Q18," - ")</f>
        <v>14</v>
      </c>
      <c r="AA18" s="551">
        <f>IF(ISNUMBER(Datos!L18),Datos!L18,"-")</f>
        <v>218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68</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3.0138248847926268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3492</v>
      </c>
      <c r="G23" s="1197">
        <f>SUBTOTAL(9,G16:G22)</f>
        <v>3650</v>
      </c>
      <c r="H23" s="1240">
        <f>SUBTOTAL(9,H16:H22)</f>
        <v>0</v>
      </c>
      <c r="I23" s="1217">
        <f>SUBTOTAL(9,I16:I22)</f>
        <v>0</v>
      </c>
      <c r="J23" s="1164">
        <f>SUBTOTAL(9,J15:J22)</f>
        <v>0</v>
      </c>
      <c r="K23" s="1240">
        <f t="shared" ref="K23:S23" si="5">SUBTOTAL(9,K16:K22)</f>
        <v>0</v>
      </c>
      <c r="L23" s="1240">
        <f t="shared" si="5"/>
        <v>0</v>
      </c>
      <c r="M23" s="1240">
        <f t="shared" si="5"/>
        <v>0</v>
      </c>
      <c r="N23" s="1240">
        <f t="shared" si="5"/>
        <v>92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2829</v>
      </c>
      <c r="Z23" s="1240">
        <f t="shared" si="6"/>
        <v>74</v>
      </c>
      <c r="AA23" s="1240">
        <f t="shared" si="6"/>
        <v>3743</v>
      </c>
      <c r="AB23" s="1240">
        <f t="shared" si="6"/>
        <v>0</v>
      </c>
      <c r="AC23" s="1240">
        <f t="shared" si="6"/>
        <v>0</v>
      </c>
      <c r="AD23" s="1240">
        <f t="shared" si="6"/>
        <v>0</v>
      </c>
      <c r="AE23" s="1240">
        <f t="shared" si="6"/>
        <v>329</v>
      </c>
      <c r="AF23" s="1240">
        <f t="shared" si="6"/>
        <v>0</v>
      </c>
      <c r="AG23" s="1240">
        <f t="shared" si="6"/>
        <v>0</v>
      </c>
      <c r="AH23" s="1240">
        <f t="shared" si="6"/>
        <v>0</v>
      </c>
      <c r="AI23" s="1240">
        <f t="shared" si="6"/>
        <v>0</v>
      </c>
      <c r="AJ23" s="1240">
        <f t="shared" si="6"/>
        <v>537</v>
      </c>
      <c r="AK23" s="1240">
        <f t="shared" si="6"/>
        <v>1802</v>
      </c>
      <c r="AL23" s="1240">
        <f t="shared" si="6"/>
        <v>0</v>
      </c>
      <c r="AM23" s="1240">
        <f t="shared" si="6"/>
        <v>0</v>
      </c>
      <c r="AN23" s="1240">
        <f t="shared" si="6"/>
        <v>0</v>
      </c>
      <c r="AO23" s="1242">
        <f>IF(ISNUMBER(((NºAsuntos!I23/NºAsuntos!G23)*11)/factor_trimestre),((NºAsuntos!I23/NºAsuntos!G23)*11)/factor_trimestre," - ")</f>
        <v>3.9692470837751856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3539</v>
      </c>
      <c r="G31" s="1117">
        <f t="shared" si="12"/>
        <v>3697</v>
      </c>
      <c r="H31" s="1118">
        <f t="shared" si="12"/>
        <v>0</v>
      </c>
      <c r="I31" s="1117">
        <f t="shared" si="12"/>
        <v>0</v>
      </c>
      <c r="J31" s="1119">
        <f t="shared" si="12"/>
        <v>0</v>
      </c>
      <c r="K31" s="1117">
        <f t="shared" si="12"/>
        <v>0</v>
      </c>
      <c r="L31" s="1120">
        <f t="shared" si="12"/>
        <v>0</v>
      </c>
      <c r="M31" s="1117">
        <f t="shared" si="12"/>
        <v>0</v>
      </c>
      <c r="N31" s="1118">
        <f t="shared" si="12"/>
        <v>573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2862</v>
      </c>
      <c r="Z31" s="1124">
        <f t="shared" si="13"/>
        <v>537</v>
      </c>
      <c r="AA31" s="1125">
        <f t="shared" si="13"/>
        <v>3781</v>
      </c>
      <c r="AB31" s="1125">
        <f t="shared" si="13"/>
        <v>0</v>
      </c>
      <c r="AC31" s="1125">
        <f t="shared" si="13"/>
        <v>0</v>
      </c>
      <c r="AD31" s="1126">
        <f t="shared" si="13"/>
        <v>0</v>
      </c>
      <c r="AE31" s="1126">
        <f t="shared" si="13"/>
        <v>11953</v>
      </c>
      <c r="AF31" s="1127">
        <f t="shared" si="13"/>
        <v>0</v>
      </c>
      <c r="AG31" s="1128">
        <f t="shared" si="13"/>
        <v>0</v>
      </c>
      <c r="AH31" s="1129">
        <f t="shared" si="13"/>
        <v>0</v>
      </c>
      <c r="AI31" s="1127">
        <f t="shared" si="13"/>
        <v>0</v>
      </c>
      <c r="AJ31" s="1117">
        <f t="shared" si="13"/>
        <v>1084</v>
      </c>
      <c r="AK31" s="1117">
        <f t="shared" si="13"/>
        <v>2613</v>
      </c>
      <c r="AL31" s="1117">
        <f t="shared" si="13"/>
        <v>0</v>
      </c>
      <c r="AM31" s="1130">
        <f t="shared" si="13"/>
        <v>0</v>
      </c>
      <c r="AN31" s="1120">
        <f>IF(ISNUMBER(Datos!K31/Datos!J31),Datos!K31/Datos!J31," - ")</f>
        <v>0.89564591579704933</v>
      </c>
      <c r="AO31" s="1120">
        <f>IF(ISNUMBER(FIND("06",Criterios!A8,1)),(IF(ISNUMBER(((Datos!R31/Datos!Q31)*11)/factor_trimestre),((Datos!R31/Datos!Q31)*11)/factor_trimestre," - ")),(IF(ISNUMBER(((Datos!L31/Datos!K31)*11)/factor_trimestre),((Datos!L31/Datos!K31)*11)/factor_trimestre," - ")))</f>
        <v>9.8081558858979516</v>
      </c>
      <c r="AP31" s="1131" t="str">
        <f>IF(ISNUMBER(Datos!CI31/Datos!CJ31),Datos!CI31/Datos!CJ31," - ")</f>
        <v xml:space="preserve"> - </v>
      </c>
      <c r="AQ31" s="1131">
        <f>IF(OR(ISNUMBER(FIND("01",Criterios!A8,1)),ISNUMBER(FIND("02",Criterios!A8,1)),ISNUMBER(FIND("03",Criterios!A8,1)),ISNUMBER(FIND("04",Criterios!A8,1))),(J31-Y31+K31)/(F31-K31),(I31-Y31+K31)/(F31-K31))</f>
        <v>-0.80870302345295286</v>
      </c>
      <c r="AR31" s="1131">
        <f>IF(ISNUMBER((Datos!P31-Datos!Q31+O31)/(Datos!R31-Datos!P31+Datos!Q31-O31)),(Datos!P31-Datos!Q31+O31)/(Datos!R31-Datos!P31+Datos!Q31-O31)," - ")</f>
        <v>3.020894520432995E-3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924.25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1692.1353795890986</v>
      </c>
      <c r="G33" s="674">
        <f>IF(ISNUMBER(STDEV(G8:G30)),STDEV(G8:G30),"-")</f>
        <v>1623.8638885606849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263.8235100298009</v>
      </c>
      <c r="AK33" s="276"/>
      <c r="AL33" s="276">
        <f>IF(ISNUMBER(STDEV(AL8:AL30)),STDEV(AL8:AL30),"-")</f>
        <v>0</v>
      </c>
      <c r="AM33" s="278">
        <f>IF(ISNUMBER(STDEV(AM8:AM30)),STDEV(AM8:AM30),"-")</f>
        <v>0</v>
      </c>
      <c r="AN33" s="660">
        <f>IF(ISNUMBER(STDEV(AN8:AN30)),STDEV(AN8:AN30),"-")</f>
        <v>0</v>
      </c>
      <c r="AO33" s="661">
        <f>IF(ISNUMBER(STDEV(AO8:AO30)),STDEV(AO8:AO30),"-")</f>
        <v>8.8184706378208926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XOCGoAiwiRxXeKqXFRT4hQdsAPqIuoLKQL8hncLvYXt17AQw+zO/THjWwRN1+kOZGIdJW4S/Pb/CjEORgQ4eg==" saltValue="NEvFtuyyjegNvjwuVYKa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j67cAzqcpaHOcgU84KzrHb+armAiQH0VpDBDqewKztZ2Uy3CEPoJHsd9DU3bIMXLAGn8V+QHcwsnqHmHlJbDw==" saltValue="Dak89YdqoFcmUjTvUqp0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BlAOjXGzViHZptKNvHkGWVOiNHbIh2uvXE98wR2oiHb3OQqu9/axDHAFcl0Q5mEVj/LV+5gF0Y+rs9hJ8CUVA==" saltValue="ArUsBhmEYsatjC4gH2Vd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ARONA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0.24419642857142856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0.17267295058439353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GM18Ht+4NiqsmlLqe4gpvGn2RlKIM18fAU0CJsRCaZ2E8fls7xw36h77+Mqks/KmqZnVGvfJSrykIRe75e2aw==" saltValue="4dcUeQngo7K7a+nFjEZr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OVW4/FfXVnb1izlnUiXRitOoZ7gnz+W1zmjsB3Bt7oDA7a6u0GHQ2VHrWnUiy0qYALwYWi8DH5BCxzPJcyzUkg==" saltValue="jfr0IkBlG3DTBcb3qlMa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ARONA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12317</v>
      </c>
      <c r="D9" s="452">
        <f>IF(ISNUMBER(C9/Datos!BH9),C9/Datos!BH9," - ")</f>
        <v>2463.4</v>
      </c>
      <c r="E9" s="451">
        <f>IF(ISNUMBER(IF(J_V="SI",Datos!J9,Datos!J9+Datos!Z9)),IF(J_V="SI",Datos!J9,Datos!J9+Datos!Z9)," - ")</f>
        <v>2741</v>
      </c>
      <c r="F9" s="452">
        <f>IF(ISNUMBER(E9/B9),E9/B9," - ")</f>
        <v>456.83333333333331</v>
      </c>
      <c r="G9" s="451">
        <f>IF(ISNUMBER(IF(J_V="SI",Datos!K9,Datos!K9+Datos!AA9)),IF(J_V="SI",Datos!K9,Datos!K9+Datos!AA9)," - ")</f>
        <v>2207</v>
      </c>
      <c r="H9" s="452">
        <f>IF(ISNUMBER(G9/B9),G9/B9," - ")</f>
        <v>367.83333333333331</v>
      </c>
      <c r="I9" s="451">
        <f>IF(ISNUMBER(IF(J_V="SI",Datos!L9,Datos!L9+Datos!AB9)),IF(J_V="SI",Datos!L9,Datos!L9+Datos!AB9)," - ")</f>
        <v>12851</v>
      </c>
      <c r="J9" s="452">
        <f>IF(ISNUMBER(I9/B9),I9/B9," - ")</f>
        <v>2141.8333333333335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24</v>
      </c>
      <c r="F10" s="452">
        <f>IF(ISNUMBER(E10/B10),E10/B10," - ")</f>
        <v>24</v>
      </c>
      <c r="G10" s="451">
        <f>IF(ISNUMBER(Datos!K10),Datos!K10," - ")</f>
        <v>33</v>
      </c>
      <c r="H10" s="452">
        <f>IF(ISNUMBER(G10/B10),G10/B10," - ")</f>
        <v>33</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12366</v>
      </c>
      <c r="D14" s="1147" t="str">
        <f>IF(ISNUMBER(C14/Datos!BI14),C14/Datos!BI14," - ")</f>
        <v xml:space="preserve"> - </v>
      </c>
      <c r="E14" s="1146">
        <f>SUBTOTAL(9,E8:E13)</f>
        <v>2765</v>
      </c>
      <c r="F14" s="1147">
        <f>IF(ISNUMBER(E14/B14),E14/B14," - ")</f>
        <v>395</v>
      </c>
      <c r="G14" s="1146">
        <f>SUBTOTAL(9,G8:G13)</f>
        <v>2240</v>
      </c>
      <c r="H14" s="1147">
        <f>IF(ISNUMBER(G14/B14),G14/B14," - ")</f>
        <v>320</v>
      </c>
      <c r="I14" s="1146">
        <f>SUBTOTAL(9,I8:I13)</f>
        <v>12890</v>
      </c>
      <c r="J14" s="1147">
        <f>IF(ISNUMBER(I14/B14),I14/B14," - ")</f>
        <v>1841.4285714285713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3454</v>
      </c>
      <c r="D16" s="452">
        <f>IF(ISNUMBER(C16/Datos!BH16),C16/Datos!BH16," - ")</f>
        <v>863.5</v>
      </c>
      <c r="E16" s="451">
        <f>IF(ISNUMBER(IF(D_I="SI",Datos!J16,Datos!J16+Datos!AD16)),IF(D_I="SI",Datos!J16,Datos!J16+Datos!AD16)," - ")</f>
        <v>2644</v>
      </c>
      <c r="F16" s="452">
        <f>IF(ISNUMBER(E16/B16),E16/B16," - ")</f>
        <v>661</v>
      </c>
      <c r="G16" s="451">
        <f>IF(ISNUMBER(IF(D_I="SI",Datos!K16,Datos!K16+Datos!AE16)),IF(D_I="SI",Datos!K16,Datos!K16+Datos!AE16)," - ")</f>
        <v>2611</v>
      </c>
      <c r="H16" s="452">
        <f>IF(ISNUMBER(G16/B16),G16/B16," - ")</f>
        <v>652.75</v>
      </c>
      <c r="I16" s="451">
        <f>IF(ISNUMBER(IF(D_I="SI",Datos!L16,Datos!L16+Datos!AF16)),IF(D_I="SI",Datos!L16,Datos!L16+Datos!AF16)," - ")</f>
        <v>3517</v>
      </c>
      <c r="J16" s="452">
        <f>IF(ISNUMBER(I16/B16),I16/B16," - ")</f>
        <v>879.25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8</v>
      </c>
      <c r="D17" s="452" t="str">
        <f>IF(ISNUMBER(C17/Datos!BH17),C17/Datos!BH17," - ")</f>
        <v xml:space="preserve"> - </v>
      </c>
      <c r="E17" s="451">
        <f>IF(ISNUMBER(IF(D_I="SI",Datos!J17,Datos!J17+Datos!AD17)),IF(D_I="SI",Datos!J17,Datos!J17+Datos!AD17)," - ")</f>
        <v>1</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8</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188</v>
      </c>
      <c r="D18" s="452">
        <f>IF(ISNUMBER(C18/Datos!BH18),C18/Datos!BH18," - ")</f>
        <v>188</v>
      </c>
      <c r="E18" s="451">
        <f>IF(ISNUMBER(IF(D_I="SI",Datos!J18,Datos!J18+Datos!AD18)),IF(D_I="SI",Datos!J18,Datos!J18+Datos!AD18)," - ")</f>
        <v>247</v>
      </c>
      <c r="F18" s="452">
        <f>IF(ISNUMBER(E18/B18),E18/B18," - ")</f>
        <v>247</v>
      </c>
      <c r="G18" s="451">
        <f>IF(ISNUMBER(IF(D_I="SI",Datos!K18,Datos!K18+Datos!AE18)),IF(D_I="SI",Datos!K18,Datos!K18+Datos!AE18)," - ")</f>
        <v>217</v>
      </c>
      <c r="H18" s="452">
        <f>IF(ISNUMBER(G18/B18),G18/B18," - ")</f>
        <v>217</v>
      </c>
      <c r="I18" s="451">
        <f>IF(ISNUMBER(IF(D_I="SI",Datos!L18,Datos!L18+Datos!AF18)),IF(D_I="SI",Datos!L18,Datos!L18+Datos!AF18)," - ")</f>
        <v>218</v>
      </c>
      <c r="J18" s="452">
        <f>IF(ISNUMBER(I18/B18),I18/B18," - ")</f>
        <v>218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3650</v>
      </c>
      <c r="D23" s="1147" t="str">
        <f>IF(ISNUMBER(C23/Datos!BI23),C23/Datos!BI23," - ")</f>
        <v xml:space="preserve"> - </v>
      </c>
      <c r="E23" s="1146">
        <f>SUBTOTAL(9,E15:E22)</f>
        <v>2892</v>
      </c>
      <c r="F23" s="1147">
        <f>IF(ISNUMBER(E23/B23),E23/B23," - ")</f>
        <v>578.4</v>
      </c>
      <c r="G23" s="1146">
        <f>SUBTOTAL(9,G15:G22)</f>
        <v>2829</v>
      </c>
      <c r="H23" s="1147">
        <f>IF(ISNUMBER(G23/B23),G23/B23," - ")</f>
        <v>565.79999999999995</v>
      </c>
      <c r="I23" s="1146">
        <f>SUBTOTAL(9,I15:I22)</f>
        <v>3743</v>
      </c>
      <c r="J23" s="1147">
        <f>IF(ISNUMBER(I23/B23),I23/B23," - ")</f>
        <v>748.6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16016</v>
      </c>
      <c r="D31" s="1085" t="str">
        <f>IF(ISNUMBER(C31/Datos!BI31),C31/Datos!BI31," - ")</f>
        <v xml:space="preserve"> - </v>
      </c>
      <c r="E31" s="1084">
        <f>SUBTOTAL(9,E9:E30)</f>
        <v>5657</v>
      </c>
      <c r="F31" s="1085">
        <f>IF(ISNUMBER(E31/B31),E31/B31," - ")</f>
        <v>514.27272727272725</v>
      </c>
      <c r="G31" s="1084">
        <f>SUBTOTAL(9,G9:G30)</f>
        <v>5069</v>
      </c>
      <c r="H31" s="1085">
        <f>IF(ISNUMBER(G31/B31),G31/B31," - ")</f>
        <v>460.81818181818181</v>
      </c>
      <c r="I31" s="1084">
        <f>SUBTOTAL(9,I9:I30)</f>
        <v>16633</v>
      </c>
      <c r="J31" s="1085">
        <f>IF(ISNUMBER(I31/B31),I31/B31," - ")</f>
        <v>1512.090909090909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LfxMKzu1YXrD857FY98b8KToDhv/wsTO/GtKX1DBr53chr1q4kTXpxAzbffCDntTvuRzguSNmba3IARrfGgHQ==" saltValue="HyBSd80iVrHR0Bur1maU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ARONA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47</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3.454545454545455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-9.3076049943246308E-2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47</v>
      </c>
      <c r="G14" s="1256">
        <f t="shared" si="0"/>
        <v>47</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82</v>
      </c>
      <c r="AE14" s="1257">
        <f t="shared" si="1"/>
        <v>0</v>
      </c>
      <c r="AF14" s="1257">
        <f t="shared" si="1"/>
        <v>38</v>
      </c>
      <c r="AG14" s="1257">
        <f t="shared" si="1"/>
        <v>0</v>
      </c>
      <c r="AH14" s="1257">
        <f t="shared" si="1"/>
        <v>799</v>
      </c>
      <c r="AI14" s="1257">
        <f t="shared" si="1"/>
        <v>0</v>
      </c>
      <c r="AJ14" s="1257">
        <f t="shared" si="1"/>
        <v>0</v>
      </c>
      <c r="AK14" s="1257">
        <f t="shared" si="1"/>
        <v>0</v>
      </c>
      <c r="AL14" s="1257">
        <f t="shared" si="1"/>
        <v>14</v>
      </c>
      <c r="AM14" s="1257">
        <f t="shared" si="1"/>
        <v>12</v>
      </c>
      <c r="AN14" s="1257">
        <f t="shared" si="1"/>
        <v>0</v>
      </c>
      <c r="AO14" s="1257">
        <f t="shared" si="1"/>
        <v>0</v>
      </c>
      <c r="AP14" s="1262">
        <f>IF(ISNUMBER(((Datos!L14/Datos!K14)*11)/factor_trimestre),((Datos!L14/Datos!K14)*11)/factor_trimestre," - ")</f>
        <v>17.49464867380177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-0.7021276595744681</v>
      </c>
      <c r="AU14" s="1257" t="str">
        <f>IF(ISNUMBER((DatosP!#REF!-DatosP!#REF!+DatosP!#REF!)/(DatosP!#REF!+DatosP!#REF!-DatosP!#REF!-DatosP!#REF!)),(DatosP!#REF!-DatosP!#REF!+DatosP!#REF!)/(DatosP!#REF!+DatosP!#REF!-DatosP!#REF!-DatosP!#REF!)," - ")</f>
        <v xml:space="preserve"> - </v>
      </c>
      <c r="AV14" s="1263">
        <f>SUBTOTAL(9,AV9:AV13)</f>
        <v>-9.3076049943246308E-2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3.9692470837751856</v>
      </c>
      <c r="AQ23" s="1262">
        <f>IF(ISNUMBER(((Datos!M23/Datos!L23)*11)/factor_trimestre),((Datos!M23/Datos!L23)*11)/factor_trimestre," - ")</f>
        <v>0.43040341971680474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5.7877813504823149E-2</v>
      </c>
      <c r="AW23" s="1265">
        <f>IF(ISNUMBER((Datos!Q23-Datos!R23)/(Datos!S23-Datos!Q23+Datos!R23)),(Datos!Q23-Datos!R23)/(Datos!S23-Datos!Q23+Datos!R23)," - ")</f>
        <v>-7.5221238938053103E-2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47</v>
      </c>
      <c r="G31" s="1278">
        <f t="shared" si="8"/>
        <v>47</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82</v>
      </c>
      <c r="AE31" s="1284">
        <f t="shared" si="9"/>
        <v>0</v>
      </c>
      <c r="AF31" s="1285">
        <f t="shared" si="9"/>
        <v>38</v>
      </c>
      <c r="AG31" s="1285">
        <f t="shared" si="9"/>
        <v>0</v>
      </c>
      <c r="AH31" s="1285">
        <f t="shared" si="9"/>
        <v>799</v>
      </c>
      <c r="AI31" s="1285">
        <f t="shared" si="9"/>
        <v>0</v>
      </c>
      <c r="AJ31" s="1286">
        <f t="shared" si="9"/>
        <v>0</v>
      </c>
      <c r="AK31" s="1286">
        <f t="shared" si="9"/>
        <v>0</v>
      </c>
      <c r="AL31" s="1278">
        <f t="shared" si="9"/>
        <v>14</v>
      </c>
      <c r="AM31" s="1278">
        <f t="shared" si="9"/>
        <v>12</v>
      </c>
      <c r="AN31" s="1278">
        <f t="shared" si="9"/>
        <v>0</v>
      </c>
      <c r="AO31" s="1278">
        <f t="shared" si="9"/>
        <v>0</v>
      </c>
      <c r="AP31" s="1278">
        <f>IF(ISNUMBER(((Datos!L31/Datos!K31)*11)/factor_trimestre),((Datos!L31/Datos!K31)*11)/factor_trimestre," - ")</f>
        <v>9.8081558858979516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-0.7021276595744681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3.020894520432995E-3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25.742960202742807</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7.2295689129205121</v>
      </c>
      <c r="AM33" s="1006"/>
      <c r="AN33" s="1006">
        <f>IF(ISNUMBER(STDEV(AN8:AN30)),STDEV(AN8:AN30),"-")</f>
        <v>0</v>
      </c>
      <c r="AO33" s="1012">
        <f>IF(ISNUMBER(STDEV(AO8:AO30)),STDEV(AO8:AO30),"-")</f>
        <v>0</v>
      </c>
      <c r="AP33" s="1065">
        <f>IF(ISNUMBER(STDEV(AP8:AP30)),STDEV(AP8:AP30),"-")</f>
        <v>7.9616361838715539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3ZEJsJ+T8R1g/jnWH3PD43i0WEuEgouubmH3OvHcoz6NtVFdJJmC0jUVjRlmbaeuF3ljlUG57rXbEWhnCoHEw==" saltValue="2cXULso6OsP5DqNC1wld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ARONA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7+H6PUaweyGkSyhg7bWCbzAQ5XYRMcH43VmG3qPOIVXD5TbcQOiHGjJSI42YBc8s19Dv9Dwdmea5LQiQzR6qiA==" saltValue="M7Vu/tUypkvubCS8bzK3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ARONA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533</v>
      </c>
      <c r="E9" s="452">
        <f t="shared" ref="E9:E14" si="0">IF(ISNUMBER(D9/B9),D9/B9," - ")</f>
        <v>88.833333333333329</v>
      </c>
      <c r="F9" s="451">
        <f>IF(ISNUMBER(Datos!N9),Datos!N9," - ")</f>
        <v>799</v>
      </c>
      <c r="G9" s="452">
        <f t="shared" ref="G9:G14" si="1">IF(ISNUMBER(F9/B9),F9/B9," - ")</f>
        <v>133.16666666666666</v>
      </c>
      <c r="H9" s="451">
        <f>IF(ISNUMBER(Datos!O9),Datos!O9," - ")</f>
        <v>990</v>
      </c>
      <c r="I9" s="452">
        <f>IF(ISNUMBER(H9/B9),H9/B9," - ")</f>
        <v>165</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12</v>
      </c>
      <c r="G10" s="452">
        <f>IF(ISNUMBER(F10/B10),F10/B10," - ")</f>
        <v>12</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547</v>
      </c>
      <c r="E14" s="1147">
        <f t="shared" si="0"/>
        <v>78.142857142857139</v>
      </c>
      <c r="F14" s="1146">
        <f>SUBTOTAL(9,F9:F13)</f>
        <v>811</v>
      </c>
      <c r="G14" s="1147">
        <f t="shared" si="1"/>
        <v>115.85714285714286</v>
      </c>
      <c r="H14" s="1146">
        <f>SUBTOTAL(9,H9:H13)</f>
        <v>1000</v>
      </c>
      <c r="I14" s="1147">
        <f>IF(ISNUMBER(H14/B14),H14/B14," - ")</f>
        <v>142.85714285714286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469</v>
      </c>
      <c r="E16" s="452">
        <f t="shared" ref="E16:E23" si="3">IF(ISNUMBER(D16/B16),D16/B16," - ")</f>
        <v>117.25</v>
      </c>
      <c r="F16" s="451">
        <f>IF(ISNUMBER(Datos!N16),Datos!N16," - ")</f>
        <v>1714</v>
      </c>
      <c r="G16" s="452">
        <f t="shared" ref="G16:G23" si="4">IF(ISNUMBER(F16/B16),F16/B16," - ")</f>
        <v>428.5</v>
      </c>
      <c r="H16" s="451">
        <f>IF(ISNUMBER(Datos!O16),Datos!O16," - ")</f>
        <v>47</v>
      </c>
      <c r="I16" s="452">
        <f t="shared" ref="I16:I22" si="5">IF(ISNUMBER(H16/B16),H16/B16," - ")</f>
        <v>11.75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68</v>
      </c>
      <c r="E18" s="452">
        <f>IF(ISNUMBER(D18/B18),D18/B18," - ")</f>
        <v>68</v>
      </c>
      <c r="F18" s="451">
        <f>IF(ISNUMBER(Datos!N18),Datos!N18," - ")</f>
        <v>88</v>
      </c>
      <c r="G18" s="452">
        <f>IF(ISNUMBER(F18/B18),F18/B18," - ")</f>
        <v>88</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537</v>
      </c>
      <c r="E23" s="1147">
        <f t="shared" si="3"/>
        <v>107.4</v>
      </c>
      <c r="F23" s="1146">
        <f>SUBTOTAL(9,F16:F22)</f>
        <v>1802</v>
      </c>
      <c r="G23" s="1147">
        <f t="shared" si="4"/>
        <v>360.4</v>
      </c>
      <c r="H23" s="1146">
        <f>SUBTOTAL(9,H16:H22)</f>
        <v>59</v>
      </c>
      <c r="I23" s="1147">
        <f>IF(ISNUMBER(H23/B23),H23/B23," - ")</f>
        <v>11.8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1084</v>
      </c>
      <c r="E31" s="1085">
        <f>IF(ISNUMBER(D31/B31),D31/B31," - ")</f>
        <v>98.545454545454547</v>
      </c>
      <c r="F31" s="1084">
        <f>SUBTOTAL(9,F8:F30)</f>
        <v>2613</v>
      </c>
      <c r="G31" s="1085">
        <f>IF(ISNUMBER(F31/B31),F31/B31," - ")</f>
        <v>237.54545454545453</v>
      </c>
      <c r="H31" s="1084">
        <f>SUBTOTAL(9,H8:H30)</f>
        <v>1059</v>
      </c>
      <c r="I31" s="1085">
        <f>IF(ISNUMBER(H31/B31),H31/B31," - ")</f>
        <v>96.272727272727266</v>
      </c>
    </row>
    <row r="34" spans="1:1">
      <c r="A34" s="439" t="str">
        <f>Criterios!A4</f>
        <v>Fecha Informe: 05 may. 2023</v>
      </c>
    </row>
    <row r="39" spans="1:1">
      <c r="A39" s="462"/>
    </row>
  </sheetData>
  <sheetProtection algorithmName="SHA-512" hashValue="L/bbyn7DFzuReJ6XqvPrqkL/Z0XthnMriO0mU2CmgWJ4JtLb7BzsuUzy4WKJ5Qaix0S2iDsxFFVYgXBWbC/CRg==" saltValue="vjz1SATK9wHMugcg82Qh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ARONA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475</v>
      </c>
      <c r="C9" s="489">
        <f>IF(ISNUMBER(Datos!Q9),Datos!Q9," - ")</f>
        <v>378</v>
      </c>
      <c r="D9" s="456">
        <f>IF(ISNUMBER(Datos!R9),Datos!R9," - ")</f>
        <v>10761</v>
      </c>
    </row>
    <row r="10" spans="1:4">
      <c r="A10" s="450" t="str">
        <f>Datos!A10</f>
        <v>Jdos. Violencia contra la mujer</v>
      </c>
      <c r="B10" s="488">
        <f>IF(ISNUMBER(Datos!P10),Datos!P10," - ")</f>
        <v>6</v>
      </c>
      <c r="C10" s="489">
        <f>IF(ISNUMBER(Datos!Q10),Datos!Q10," - ")</f>
        <v>3</v>
      </c>
      <c r="D10" s="456">
        <f>IF(ISNUMBER(Datos!R10),Datos!R10," - ")</f>
        <v>64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82</v>
      </c>
      <c r="D12" s="456">
        <f>IF(ISNUMBER(Datos!R12),Datos!R12," - ")</f>
        <v>799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481</v>
      </c>
      <c r="C14" s="1150">
        <f>SUBTOTAL(9,C9:C13)</f>
        <v>463</v>
      </c>
      <c r="D14" s="1148">
        <f>SUBTOTAL(9,D9:D13)</f>
        <v>11624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87</v>
      </c>
      <c r="C16" s="489">
        <f>IF(ISNUMBER(Datos!Q16),Datos!Q16," - ")</f>
        <v>60</v>
      </c>
      <c r="D16" s="456">
        <f>IF(ISNUMBER(Datos!R16),Datos!R16," - ")</f>
        <v>329</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5</v>
      </c>
      <c r="C18" s="489">
        <f>IF(ISNUMBER(Datos!Q18),Datos!Q18," - ")</f>
        <v>14</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92</v>
      </c>
      <c r="C23" s="1150">
        <f>SUBTOTAL(9,C16:C22)</f>
        <v>74</v>
      </c>
      <c r="D23" s="1148">
        <f>SUBTOTAL(9,D16:D22)</f>
        <v>329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573</v>
      </c>
      <c r="C31" s="1089">
        <f>SUBTOTAL(9,C8:C30)</f>
        <v>537</v>
      </c>
      <c r="D31" s="1090">
        <f>SUBTOTAL(9,D8:D30)</f>
        <v>11953</v>
      </c>
    </row>
    <row r="32" spans="1:4" ht="7.5" customHeight="1"/>
    <row r="33" spans="1:1" ht="6" customHeight="1"/>
    <row r="34" spans="1:1">
      <c r="A34" s="439" t="str">
        <f>Criterios!A4</f>
        <v>Fecha Informe: 05 may. 2023</v>
      </c>
    </row>
    <row r="39" spans="1:1">
      <c r="A39" s="462"/>
    </row>
  </sheetData>
  <sheetProtection algorithmName="SHA-512" hashValue="WX4Vej++k8VeSdGGiMvMijCt69MEFMfPqbZO1eBkNSSXmy2JIZpC7tJLmY4GaxP1lB/KKsuhaGno7IlFef9BtQ==" saltValue="C+GvehUP4Ha9DprCENRi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ARONA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0.28556518108756912</v>
      </c>
      <c r="C9" s="515">
        <f>IF(ISNUMBER(
   IF(J_V="SI",(Datos!J9-Datos!T9)/Datos!T9,(Datos!J9+Datos!Z9-(Datos!T9+Datos!AH9))/(Datos!T9+Datos!AH9))
     ),IF(J_V="SI",(Datos!J9-Datos!T9)/Datos!T9,(Datos!J9+Datos!Z9-(Datos!T9+Datos!AH9))/(Datos!T9+Datos!AH9))," - ")</f>
        <v>-2.2119158044951837E-2</v>
      </c>
      <c r="D9" s="515">
        <f>IF(ISNUMBER(
   IF(J_V="SI",(Datos!K9-Datos!U9)/Datos!U9,(Datos!K9+Datos!AA9-(Datos!U9+Datos!AI9))/(Datos!U9+Datos!AI9))
     ),IF(J_V="SI",(Datos!K9-Datos!U9)/Datos!U9,(Datos!K9+Datos!AA9-(Datos!U9+Datos!AI9))/(Datos!U9+Datos!AI9))," - ")</f>
        <v>-1.6049933125278644E-2</v>
      </c>
      <c r="E9" s="515">
        <f>IF(ISNUMBER(
   IF(J_V="SI",(Datos!L9-Datos!V9)/Datos!V9,(Datos!L9+Datos!AB9-(Datos!V9+Datos!AJ9))/(Datos!V9+Datos!AJ9))
     ),IF(J_V="SI",(Datos!L9-Datos!V9)/Datos!V9,(Datos!L9+Datos!AB9-(Datos!V9+Datos!AJ9))/(Datos!V9+Datos!AJ9))," - ")</f>
        <v>0.26723202839956611</v>
      </c>
      <c r="F9" s="515">
        <f>IF(ISNUMBER((Datos!M9-Datos!W9)/Datos!W9),(Datos!M9-Datos!W9)/Datos!W9," - ")</f>
        <v>-6.32688927943761E-2</v>
      </c>
      <c r="G9" s="516">
        <f>IF(ISNUMBER((Datos!N9-Datos!X9)/Datos!X9),(Datos!N9-Datos!X9)/Datos!X9," - ")</f>
        <v>5.8278145695364242E-2</v>
      </c>
      <c r="H9" s="514">
        <f>IF(ISNUMBER(((NºAsuntos!G9/NºAsuntos!E9)-Datos!BD9)/Datos!BD9),((NºAsuntos!G9/NºAsuntos!E9)-Datos!BD9)/Datos!BD9," - ")</f>
        <v>6.2065076431388807E-3</v>
      </c>
      <c r="I9" s="515">
        <f>IF(ISNUMBER(((NºAsuntos!I9/NºAsuntos!G9)-Datos!BE9)/Datos!BE9),((NºAsuntos!I9/NºAsuntos!G9)-Datos!BE9)/Datos!BE9," - ")</f>
        <v>0.28790278192126278</v>
      </c>
      <c r="J9" s="521">
        <f>IF(ISNUMBER((('Resol  Asuntos'!D9/NºAsuntos!G9)-Datos!BF9)/Datos!BF9),(('Resol  Asuntos'!D9/NºAsuntos!G9)-Datos!BF9)/Datos!BF9," - ")</f>
        <v>-0.28252429806425666</v>
      </c>
      <c r="K9" s="522">
        <f>IF(ISNUMBER((((NºAsuntos!C9+NºAsuntos!E9)/NºAsuntos!G9)-Datos!BG9)/Datos!BG9),(((NºAsuntos!C9+NºAsuntos!E9)/NºAsuntos!G9)-Datos!BG9)/Datos!BG9," - ")</f>
        <v>0.23575759943988417</v>
      </c>
    </row>
    <row r="10" spans="1:11">
      <c r="A10" s="450" t="str">
        <f>Datos!A10</f>
        <v>Jdos. Violencia contra la mujer</v>
      </c>
      <c r="B10" s="514">
        <f>IF(ISNUMBER((Datos!I10-Datos!S10)/Datos!S10),(Datos!I10-Datos!S10)/Datos!S10," - ")</f>
        <v>-0.24193548387096775</v>
      </c>
      <c r="C10" s="515">
        <f>IF(ISNUMBER((Datos!J10-Datos!T10)/Datos!T10),(Datos!J10-Datos!T10)/Datos!T10," - ")</f>
        <v>-0.33333333333333331</v>
      </c>
      <c r="D10" s="515">
        <f>IF(ISNUMBER((Datos!K10-Datos!U10)/Datos!U10),(Datos!K10-Datos!U10)/Datos!U10," - ")</f>
        <v>-0.13157894736842105</v>
      </c>
      <c r="E10" s="515">
        <f>IF(ISNUMBER((Datos!L10-Datos!V10)/Datos!V10),(Datos!L10-Datos!V10)/Datos!V10," - ")</f>
        <v>-0.3559322033898305</v>
      </c>
      <c r="F10" s="515">
        <f>IF(ISNUMBER((Datos!M10-Datos!W10)/Datos!W10),(Datos!M10-Datos!W10)/Datos!W10," - ")</f>
        <v>-0.26315789473684209</v>
      </c>
      <c r="G10" s="516">
        <f>IF(ISNUMBER((Datos!N10-Datos!X10)/Datos!X10),(Datos!N10-Datos!X10)/Datos!X10," - ")</f>
        <v>-0.14285714285714285</v>
      </c>
      <c r="H10" s="514">
        <f>IF(ISNUMBER(((NºAsuntos!G10/NºAsuntos!E10)-Datos!BD10)/Datos!BD10),((NºAsuntos!G10/NºAsuntos!E10)-Datos!BD10)/Datos!BD10," - ")</f>
        <v>0.30263157894736842</v>
      </c>
      <c r="I10" s="515">
        <f>IF(ISNUMBER(((NºAsuntos!I10/NºAsuntos!G10)-Datos!BE10)/Datos!BE10),((NºAsuntos!I10/NºAsuntos!G10)-Datos!BE10)/Datos!BE10," - ")</f>
        <v>-0.25834617360041079</v>
      </c>
      <c r="J10" s="521">
        <f>IF(ISNUMBER((('Resol  Asuntos'!D10/NºAsuntos!G10)-Datos!BF10)/Datos!BF10),(('Resol  Asuntos'!D10/NºAsuntos!G10)-Datos!BF10)/Datos!BF10," - ")</f>
        <v>-0.15151515151515149</v>
      </c>
      <c r="K10" s="522">
        <f>IF(ISNUMBER((((NºAsuntos!C10+NºAsuntos!E10)/NºAsuntos!G10)-Datos!BG10)/Datos!BG10),(((NºAsuntos!C10+NºAsuntos!E10)/NºAsuntos!G10)-Datos!BG10)/Datos!BG10," - ")</f>
        <v>-0.16573902288188008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0.28211508553654746</v>
      </c>
      <c r="C14" s="1152">
        <f>IF(ISNUMBER(
   IF(J_V="SI",(Datos!J14-Datos!T14)/Datos!T14,(Datos!J14+Datos!Z14-(Datos!T14+Datos!AH14))/(Datos!T14+Datos!AH14))
     ),IF(J_V="SI",(Datos!J14-Datos!T14)/Datos!T14,(Datos!J14+Datos!Z14-(Datos!T14+Datos!AH14))/(Datos!T14+Datos!AH14))," - ")</f>
        <v>-2.6065516026769989E-2</v>
      </c>
      <c r="D14" s="1152">
        <f>IF(ISNUMBER(
   IF(J_V="SI",(Datos!K14-Datos!U14)/Datos!U14,(Datos!K14+Datos!AA14-(Datos!U14+Datos!AI14))/(Datos!U14+Datos!AI14))
     ),IF(J_V="SI",(Datos!K14-Datos!U14)/Datos!U14,(Datos!K14+Datos!AA14-(Datos!U14+Datos!AI14))/(Datos!U14+Datos!AI14))," - ")</f>
        <v>-1.7974572555896538E-2</v>
      </c>
      <c r="E14" s="1152">
        <f>IF(ISNUMBER(
   IF(J_V="SI",(Datos!L14-Datos!V14)/Datos!V14,(Datos!L14+Datos!AB14-(Datos!V14+Datos!AJ14))/(Datos!V14+Datos!AJ14))
     ),IF(J_V="SI",(Datos!L14-Datos!V14)/Datos!V14,(Datos!L14+Datos!AB14-(Datos!V14+Datos!AJ14))/(Datos!V14+Datos!AJ14))," - ")</f>
        <v>0.26347774946089003</v>
      </c>
      <c r="F14" s="1153">
        <f>IF(ISNUMBER((Datos!M14-Datos!W14)/Datos!W14),(Datos!M14-Datos!W14)/Datos!W14," - ")</f>
        <v>-6.9727891156462579E-2</v>
      </c>
      <c r="G14" s="1154">
        <f>IF(ISNUMBER((Datos!N14-Datos!X14)/Datos!X14),(Datos!N14-Datos!X14)/Datos!X14," - ")</f>
        <v>5.4616384915474644E-2</v>
      </c>
      <c r="H14" s="1154">
        <f>IF(ISNUMBER(((NºAsuntos!G14/NºAsuntos!E14)-Datos!BD14)/Datos!BD14),((NºAsuntos!G14/NºAsuntos!E14)-Datos!BD14)/Datos!BD14," - ")</f>
        <v>8.3074822834754616E-3</v>
      </c>
      <c r="I14" s="1154">
        <f>IF(ISNUMBER(((NºAsuntos!I14/NºAsuntos!G14)-Datos!BE14)/Datos!BE14),((NºAsuntos!I14/NºAsuntos!G14)-Datos!BE14)/Datos!BE14," - ")</f>
        <v>0.28660390469655816</v>
      </c>
      <c r="J14" s="1154">
        <f>IF(ISNUMBER((('Resol  Asuntos'!D14/NºAsuntos!G14)-Datos!BF14)/Datos!BF14),(('Resol  Asuntos'!D14/NºAsuntos!G14)-Datos!BF14)/Datos!BF14," - ")</f>
        <v>-0.28034618401624217</v>
      </c>
      <c r="K14" s="1154">
        <f>IF(ISNUMBER((((NºAsuntos!C14+NºAsuntos!E14)/NºAsuntos!G14)-Datos!BG14)/Datos!BG14),(((NºAsuntos!C14+NºAsuntos!E14)/NºAsuntos!G14)-Datos!BG14)/Datos!BG14," - ")</f>
        <v>0.23421590349933624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0.1816626753335614</v>
      </c>
      <c r="C16" s="515">
        <f>IF(ISNUMBER(
   IF(D_I="SI",(Datos!J16-Datos!T16)/Datos!T16,(Datos!J16+Datos!AD16-(Datos!T16+Datos!AL16))/(Datos!T16+Datos!AL16))
     ),IF(D_I="SI",(Datos!J16-Datos!T16)/Datos!T16,(Datos!J16+Datos!AD16-(Datos!T16+Datos!AL16))/(Datos!T16+Datos!AL16))," - ")</f>
        <v>-0.10342488979315022</v>
      </c>
      <c r="D16" s="515">
        <f>IF(ISNUMBER(
   IF(D_I="SI",(Datos!K16-Datos!U16)/Datos!U16,(Datos!K16+Datos!AE16-(Datos!U16+Datos!AM16))/(Datos!U16+Datos!AM16))
     ),IF(D_I="SI",(Datos!K16-Datos!U16)/Datos!U16,(Datos!K16+Datos!AE16-(Datos!U16+Datos!AM16))/(Datos!U16+Datos!AM16))," - ")</f>
        <v>-0.11701048359824145</v>
      </c>
      <c r="E16" s="515">
        <f>IF(ISNUMBER(
   IF(D_I="SI",(Datos!L16-Datos!V16)/Datos!V16,(Datos!L16+Datos!AF16-(Datos!V16+Datos!AN16))/(Datos!V16+Datos!AN16))
     ),IF(D_I="SI",(Datos!L16-Datos!V16)/Datos!V16,(Datos!L16+Datos!AF16-(Datos!V16+Datos!AN16))/(Datos!V16+Datos!AN16))," - ")</f>
        <v>8.0823601720958815E-2</v>
      </c>
      <c r="F16" s="515">
        <f>IF(ISNUMBER((Datos!M16-Datos!W16)/Datos!W16),(Datos!M16-Datos!W16)/Datos!W16," - ")</f>
        <v>0.43425076452599387</v>
      </c>
      <c r="G16" s="516">
        <f>IF(ISNUMBER((Datos!N16-Datos!X16)/Datos!X16),(Datos!N16-Datos!X16)/Datos!X16," - ")</f>
        <v>-0.15649606299212598</v>
      </c>
      <c r="H16" s="514">
        <f>IF(ISNUMBER(((NºAsuntos!G16/NºAsuntos!E16)-Datos!BD16)/Datos!BD16),((NºAsuntos!G16/NºAsuntos!E16)-Datos!BD16)/Datos!BD16," - ")</f>
        <v>-1.5152767069294274E-2</v>
      </c>
      <c r="I16" s="515">
        <f>IF(ISNUMBER(((NºAsuntos!I16/NºAsuntos!G16)-Datos!BE16)/Datos!BE16),((NºAsuntos!I16/NºAsuntos!G16)-Datos!BE16)/Datos!BE16," - ")</f>
        <v>0.22405032182645551</v>
      </c>
      <c r="J16" s="521">
        <f>IF(ISNUMBER((('Resol  Asuntos'!D16/NºAsuntos!G16)-Datos!BF16)/Datos!BF16),(('Resol  Asuntos'!D16/NºAsuntos!G16)-Datos!BF16)/Datos!BF16," - ")</f>
        <v>0.6243123365390133</v>
      </c>
      <c r="K16" s="522">
        <f>IF(ISNUMBER((((NºAsuntos!C16+NºAsuntos!E16)/NºAsuntos!G16)-Datos!BG16)/Datos!BG16),(((NºAsuntos!C16+NºAsuntos!E16)/NºAsuntos!G16)-Datos!BG16)/Datos!BG16," - ")</f>
        <v>0.17610426752463121</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-7.8431372549019607E-2</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-6.4655172413793108E-2</v>
      </c>
      <c r="E18" s="515">
        <f>IF(ISNUMBER(
   IF(D_I="SI",(Datos!L18-Datos!V18)/Datos!V18,(Datos!L18+Datos!AF18-(Datos!V18+Datos!AN18))/(Datos!V18+Datos!AN18))
     ),IF(D_I="SI",(Datos!L18-Datos!V18)/Datos!V18,(Datos!L18+Datos!AF18-(Datos!V18+Datos!AN18))/(Datos!V18+Datos!AN18))," - ")</f>
        <v>0.15343915343915343</v>
      </c>
      <c r="F18" s="515">
        <f>IF(ISNUMBER((Datos!M18-Datos!W18)/Datos!W18),(Datos!M18-Datos!W18)/Datos!W18," - ")</f>
        <v>0.51111111111111107</v>
      </c>
      <c r="G18" s="516">
        <f>IF(ISNUMBER((Datos!N18-Datos!X18)/Datos!X18),(Datos!N18-Datos!X18)/Datos!X18," - ")</f>
        <v>-0.4567901234567901</v>
      </c>
      <c r="H18" s="514">
        <f>IF(ISNUMBER(((NºAsuntos!G18/NºAsuntos!E18)-Datos!BD18)/Datos!BD18),((NºAsuntos!G18/NºAsuntos!E18)-Datos!BD18)/Datos!BD18," - ")</f>
        <v>-0.11388384754990932</v>
      </c>
      <c r="I18" s="515">
        <f>IF(ISNUMBER(((NºAsuntos!I18/NºAsuntos!G18)-Datos!BE18)/Datos!BE18),((NºAsuntos!I18/NºAsuntos!G18)-Datos!BE18)/Datos!BE18," - ")</f>
        <v>0.23316997049715948</v>
      </c>
      <c r="J18" s="521">
        <f>IF(ISNUMBER((('Resol  Asuntos'!D18/NºAsuntos!G18)-Datos!BF18)/Datos!BF18),(('Resol  Asuntos'!D18/NºAsuntos!G18)-Datos!BF18)/Datos!BF18," - ")</f>
        <v>0.61556579621095742</v>
      </c>
      <c r="K18" s="522">
        <f>IF(ISNUMBER((((NºAsuntos!C18+NºAsuntos!E18)/NºAsuntos!G18)-Datos!BG18)/Datos!BG18),(((NºAsuntos!C18+NºAsuntos!E18)/NºAsuntos!G18)-Datos!BG18)/Datos!BG18," - ")</f>
        <v>6.1801653935988791E-2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0.16427432216905902</v>
      </c>
      <c r="C23" s="1152">
        <f>IF(ISNUMBER(
   IF(Criterios!B14="SI",(Datos!J23-Datos!T23)/Datos!T23,(Datos!J23+Datos!AD23-(Datos!T23+Datos!AL23))/(Datos!T23+Datos!AL23))
     ),IF(Criterios!B14="SI",(Datos!J23-Datos!T23)/Datos!T23,(Datos!J23+Datos!AD23-(Datos!T23+Datos!AL23))/(Datos!T23+Datos!AL23))," - ")</f>
        <v>-9.1423185673892557E-2</v>
      </c>
      <c r="D23" s="1152">
        <f>IF(ISNUMBER(
   IF(Criterios!B14="SI",(Datos!K23-Datos!U23)/Datos!U23,(Datos!K23+Datos!AE23-(Datos!U23+Datos!AM23))/(Datos!U23+Datos!AM23))
     ),IF(Criterios!B14="SI",(Datos!K23-Datos!U23)/Datos!U23,(Datos!K23+Datos!AE23-(Datos!U23+Datos!AM23))/(Datos!U23+Datos!AM23))," - ")</f>
        <v>-0.11288805268109126</v>
      </c>
      <c r="E23" s="1152">
        <f>IF(ISNUMBER(
   IF(Criterios!B14="SI",(Datos!L23-Datos!V23)/Datos!V23,(Datos!L23+Datos!AF23-(Datos!V23+Datos!AN23))/(Datos!V23+Datos!AN23))
     ),IF(Criterios!B14="SI",(Datos!L23-Datos!V23)/Datos!V23,(Datos!L23+Datos!AF23-(Datos!V23+Datos!AN23))/(Datos!V23+Datos!AN23))," - ")</f>
        <v>8.4613155607070417E-2</v>
      </c>
      <c r="F23" s="1153">
        <f>IF(ISNUMBER((Datos!M23-Datos!W23)/Datos!W23),(Datos!M23-Datos!W23)/Datos!W23," - ")</f>
        <v>0.44354838709677419</v>
      </c>
      <c r="G23" s="1154">
        <f>IF(ISNUMBER((Datos!N23-Datos!X23)/Datos!X23),(Datos!N23-Datos!X23)/Datos!X23," - ")</f>
        <v>-0.17866909753874202</v>
      </c>
      <c r="H23" s="1154">
        <f>IF(ISNUMBER(((NºAsuntos!G23/NºAsuntos!E23)-Datos!BD23)/Datos!BD23),((NºAsuntos!G23/NºAsuntos!E23)-Datos!BD23)/Datos!BD23," - ")</f>
        <v>-2.3624713583649298E-2</v>
      </c>
      <c r="I23" s="1154">
        <f>IF(ISNUMBER(((NºAsuntos!I23/NºAsuntos!G23)-Datos!BE23)/Datos!BE23),((NºAsuntos!I23/NºAsuntos!G23)-Datos!BE23)/Datos!BE23," - ")</f>
        <v>0.22263391772037747</v>
      </c>
      <c r="J23" s="1154">
        <f>IF(ISNUMBER((('Resol  Asuntos'!D23/NºAsuntos!G23)-Datos!BF23)/Datos!BF23),(('Resol  Asuntos'!D23/NºAsuntos!G23)-Datos!BF23)/Datos!BF23," - ")</f>
        <v>0.62724489446858001</v>
      </c>
      <c r="K23" s="1154">
        <f>IF(ISNUMBER((((NºAsuntos!C23+NºAsuntos!E23)/NºAsuntos!G23)-Datos!BG23)/Datos!BG23),(((NºAsuntos!C23+NºAsuntos!E23)/NºAsuntos!G23)-Datos!BG23)/Datos!BG23," - ")</f>
        <v>0.16721938060455804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0.25320813771517997</v>
      </c>
      <c r="C31" s="1092">
        <f>IF(ISNUMBER(
   IF(J_V="SI",(Datos!J31-Datos!T31)/Datos!T31,(Datos!J31+Datos!Z31-(Datos!T31+Datos!AH31))/(Datos!T31+Datos!AH31))
     ),IF(J_V="SI",(Datos!J31-Datos!T31)/Datos!T31,(Datos!J31+Datos!Z31-(Datos!T31+Datos!AH31))/(Datos!T31+Datos!AH31))," - ")</f>
        <v>-6.0611092660245766E-2</v>
      </c>
      <c r="D31" s="1092">
        <f>IF(ISNUMBER(
   IF(J_V="SI",(Datos!K31-Datos!U31)/Datos!U31,(Datos!K31+Datos!AA31-(Datos!U31+Datos!AI31))/(Datos!U31+Datos!AI31))
     ),IF(J_V="SI",(Datos!K31-Datos!U31)/Datos!U31,(Datos!K31+Datos!AA31-(Datos!U31+Datos!AI31))/(Datos!U31+Datos!AI31))," - ")</f>
        <v>-7.3308957952468001E-2</v>
      </c>
      <c r="E31" s="1092">
        <f>IF(ISNUMBER(
   IF(J_V="SI",(Datos!L31-Datos!V31)/Datos!V31,(Datos!L31+Datos!AB31-(Datos!V31+Datos!AJ31))/(Datos!V31+Datos!AJ31))
     ),IF(J_V="SI",(Datos!L31-Datos!V31)/Datos!V31,(Datos!L31+Datos!AB31-(Datos!V31+Datos!AJ31))/(Datos!V31+Datos!AJ31))," - ")</f>
        <v>0.21826704753534021</v>
      </c>
      <c r="F31" s="1093">
        <f>IF(ISNUMBER((Datos!M31-Datos!W31)/Datos!W31),(Datos!M31-Datos!W31)/Datos!W31," - ")</f>
        <v>0.12916666666666668</v>
      </c>
      <c r="G31" s="1094">
        <f>IF(ISNUMBER((Datos!N31-Datos!X31)/Datos!X31),(Datos!N31-Datos!X31)/Datos!X31," - ")</f>
        <v>-0.11812352345595679</v>
      </c>
      <c r="H31" s="1095">
        <f>IF(ISNUMBER((Tasas!B31-Datos!BD31)/Datos!BD31),(Tasas!B31-Datos!BD31)/Datos!BD31," - ")</f>
        <v>-1.3517154815231157E-2</v>
      </c>
      <c r="I31" s="1096">
        <f>IF(ISNUMBER((Tasas!C31-Datos!BE31)/Datos!BE31),(Tasas!C31-Datos!BE31)/Datos!BE31," - ")</f>
        <v>0.31464208917307385</v>
      </c>
      <c r="J31" s="1097">
        <f>IF(ISNUMBER((Tasas!D31-Datos!BF31)/Datos!BF31),(Tasas!D31-Datos!BF31)/Datos!BF31," - ")</f>
        <v>2.0727227781914988E-2</v>
      </c>
      <c r="K31" s="1097">
        <f>IF(ISNUMBER((Tasas!E31-Datos!BG31)/Datos!BG31),(Tasas!E31-Datos!BG31)/Datos!BG31," - ")</f>
        <v>0.24388439009806365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DWmGZNcjAnQenfiqjqRwghxkfnCh9W9JrvKp7zqfMKRxiIB5MU6Sk54PWajs3KtIOH3tZv/GDeNzM0AJoDW6w==" saltValue="WqXlXPn14U5JRYdLxRGh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ARONA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0.80518059102517325</v>
      </c>
      <c r="C9" s="498">
        <f>IF(ISNUMBER(NºAsuntos!I9/NºAsuntos!G9),NºAsuntos!I9/NºAsuntos!G9," - ")</f>
        <v>5.8228364295423649</v>
      </c>
      <c r="D9" s="499">
        <f>IF(ISNUMBER('Resol  Asuntos'!D9/NºAsuntos!G9),'Resol  Asuntos'!D9/NºAsuntos!G9," - ")</f>
        <v>0.24150430448572724</v>
      </c>
      <c r="E9" s="500">
        <f>IF(ISNUMBER((NºAsuntos!C9+NºAsuntos!E9)/NºAsuntos!G9),(NºAsuntos!C9+NºAsuntos!E9)/NºAsuntos!G9," - ")</f>
        <v>6.8228364295423649</v>
      </c>
      <c r="G9" s="523"/>
    </row>
    <row r="10" spans="1:7">
      <c r="A10" s="450" t="str">
        <f>Datos!A10</f>
        <v>Jdos. Violencia contra la mujer</v>
      </c>
      <c r="B10" s="497">
        <f>IF(ISNUMBER(NºAsuntos!G10/NºAsuntos!E10),NºAsuntos!G10/NºAsuntos!E10," - ")</f>
        <v>1.375</v>
      </c>
      <c r="C10" s="498">
        <f>IF(ISNUMBER(NºAsuntos!I10/NºAsuntos!G10),NºAsuntos!I10/NºAsuntos!G10," - ")</f>
        <v>1.1515151515151516</v>
      </c>
      <c r="D10" s="499">
        <f>IF(ISNUMBER('Resol  Asuntos'!D10/NºAsuntos!G10),'Resol  Asuntos'!D10/NºAsuntos!G10," - ")</f>
        <v>0.42424242424242425</v>
      </c>
      <c r="E10" s="500">
        <f>IF(ISNUMBER((NºAsuntos!C10+NºAsuntos!E10)/NºAsuntos!G10),(NºAsuntos!C10+NºAsuntos!E10)/NºAsuntos!G10," - ")</f>
        <v>2.1515151515151514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0.810126582278481</v>
      </c>
      <c r="C14" s="1156">
        <f>IF(ISNUMBER(NºAsuntos!I14/NºAsuntos!G14),NºAsuntos!I14/NºAsuntos!G14," - ")</f>
        <v>5.7544642857142856</v>
      </c>
      <c r="D14" s="1157">
        <f>IF(ISNUMBER('Resol  Asuntos'!D14/NºAsuntos!G14),'Resol  Asuntos'!D14/NºAsuntos!G14," - ")</f>
        <v>0.24419642857142856</v>
      </c>
      <c r="E14" s="1158">
        <f>IF(ISNUMBER((NºAsuntos!C14+NºAsuntos!E14)/NºAsuntos!G14),(NºAsuntos!C14+NºAsuntos!E14)/NºAsuntos!G14," - ")</f>
        <v>6.7549107142857139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0.98751891074130105</v>
      </c>
      <c r="C16" s="498">
        <f>IF(ISNUMBER(NºAsuntos!I16/NºAsuntos!G16),NºAsuntos!I16/NºAsuntos!G16," - ")</f>
        <v>1.346993489084642</v>
      </c>
      <c r="D16" s="499">
        <f>IF(ISNUMBER('Resol  Asuntos'!D16/NºAsuntos!G16),'Resol  Asuntos'!D16/NºAsuntos!G16," - ")</f>
        <v>0.17962466487935658</v>
      </c>
      <c r="E16" s="500">
        <f>IF(ISNUMBER((NºAsuntos!C16+NºAsuntos!E16)/NºAsuntos!G16),(NºAsuntos!C16+NºAsuntos!E16)/NºAsuntos!G16," - ")</f>
        <v>2.3355036384527001</v>
      </c>
      <c r="G16" s="523"/>
    </row>
    <row r="17" spans="1:7">
      <c r="A17" s="450" t="str">
        <f>Datos!A17</f>
        <v xml:space="preserve">Jdos. 1ª Instª. e Instr.                        </v>
      </c>
      <c r="B17" s="497">
        <f>IF(ISNUMBER(NºAsuntos!G17/NºAsuntos!E17),NºAsuntos!G17/NºAsuntos!E17," - ")</f>
        <v>1</v>
      </c>
      <c r="C17" s="498">
        <f>IF(ISNUMBER(NºAsuntos!I17/NºAsuntos!G17),NºAsuntos!I17/NºAsuntos!G17," - ")</f>
        <v>8</v>
      </c>
      <c r="D17" s="499">
        <f>IF(ISNUMBER('Resol  Asuntos'!D17/NºAsuntos!G17),'Resol  Asuntos'!D17/NºAsuntos!G17," - ")</f>
        <v>0</v>
      </c>
      <c r="E17" s="500">
        <f>IF(ISNUMBER((NºAsuntos!C17+NºAsuntos!E17)/NºAsuntos!G17),(NºAsuntos!C17+NºAsuntos!E17)/NºAsuntos!G17," - ")</f>
        <v>9</v>
      </c>
      <c r="G17" s="523"/>
    </row>
    <row r="18" spans="1:7">
      <c r="A18" s="450" t="str">
        <f>Datos!A18</f>
        <v>Jdos. Violencia contra la mujer</v>
      </c>
      <c r="B18" s="497">
        <f>IF(ISNUMBER(NºAsuntos!G18/NºAsuntos!E18),NºAsuntos!G18/NºAsuntos!E18," - ")</f>
        <v>0.87854251012145745</v>
      </c>
      <c r="C18" s="498">
        <f>IF(ISNUMBER(NºAsuntos!I18/NºAsuntos!G18),NºAsuntos!I18/NºAsuntos!G18," - ")</f>
        <v>1.0046082949308757</v>
      </c>
      <c r="D18" s="499">
        <f>IF(ISNUMBER('Resol  Asuntos'!D18/NºAsuntos!G18),'Resol  Asuntos'!D18/NºAsuntos!G18," - ")</f>
        <v>0.31336405529953915</v>
      </c>
      <c r="E18" s="500">
        <f>IF(ISNUMBER((NºAsuntos!C18+NºAsuntos!E18)/NºAsuntos!G18),(NºAsuntos!C18+NºAsuntos!E18)/NºAsuntos!G18," - ")</f>
        <v>2.0046082949308754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0.97821576763485474</v>
      </c>
      <c r="C23" s="1156">
        <f>IF(ISNUMBER(NºAsuntos!I23/NºAsuntos!G23),NºAsuntos!I23/NºAsuntos!G23," - ")</f>
        <v>1.3230823612583953</v>
      </c>
      <c r="D23" s="1159">
        <f>IF(ISNUMBER('Resol  Asuntos'!D23/NºAsuntos!G23),'Resol  Asuntos'!D23/NºAsuntos!G23," - ")</f>
        <v>0.18981972428419935</v>
      </c>
      <c r="E23" s="1158">
        <f>IF(ISNUMBER((NºAsuntos!C23+NºAsuntos!E23)/NºAsuntos!G23),(NºAsuntos!C23+NºAsuntos!E23)/NºAsuntos!G23," - ")</f>
        <v>2.3124779073877697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0.89605798126215308</v>
      </c>
      <c r="C31" s="1099">
        <f>IF(ISNUMBER(NºAsuntos!I31/NºAsuntos!G31),NºAsuntos!I31/NºAsuntos!G31," - ")</f>
        <v>3.2813178141645296</v>
      </c>
      <c r="D31" s="1100">
        <f>IF(ISNUMBER('Resol  Asuntos'!D31/NºAsuntos!G31),'Resol  Asuntos'!D31/NºAsuntos!G31," - ")</f>
        <v>0.21384888538173211</v>
      </c>
      <c r="E31" s="1101">
        <f>IF(ISNUMBER((NºAsuntos!C31+NºAsuntos!E31)/NºAsuntos!G31),(NºAsuntos!C31+NºAsuntos!E31)/NºAsuntos!G31," - ")</f>
        <v>4.2755967646478599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oIvPEIuVESYnjbraHJNKBfUUcWTxoGqYkxL27PpxTkKOShqCHWc4p179IskaP8xIW/soX/vYS1cy8vUMkbYTA==" saltValue="nwIJ0qlJ4/ptgjLpHGgk9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ARONA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475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378</v>
      </c>
      <c r="Y9" s="374">
        <f>SUM(W9:X9)</f>
        <v>378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10761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533</v>
      </c>
      <c r="AJ9" s="243" t="str">
        <f>IF(ISNUMBER(Datos!BW9),Datos!BW9," - ")</f>
        <v xml:space="preserve"> - </v>
      </c>
      <c r="AK9" s="242" t="str">
        <f>IF(ISNUMBER(Datos!BX9),Datos!BX9," - ")</f>
        <v xml:space="preserve"> - </v>
      </c>
      <c r="AL9" s="266">
        <f>IF(ISNUMBER(NºAsuntos!G9/NºAsuntos!E9),NºAsuntos!G9/NºAsuntos!E9," - ")</f>
        <v>0.80518059102517325</v>
      </c>
      <c r="AM9" s="284">
        <f>IF(ISNUMBER(((NºAsuntos!I9/NºAsuntos!G9)*11)/factor_trimestre),((NºAsuntos!I9/NºAsuntos!G9)*11)/factor_trimestre," - ")</f>
        <v>17.468509288627093</v>
      </c>
      <c r="AN9" s="267">
        <f>IF(ISNUMBER('Resol  Asuntos'!D9/NºAsuntos!G9),'Resol  Asuntos'!D9/NºAsuntos!G9," - ")</f>
        <v>0.24150430448572724</v>
      </c>
      <c r="AO9" s="268">
        <f>IF(ISNUMBER((NºAsuntos!C9+NºAsuntos!E9)/NºAsuntos!G9),(NºAsuntos!C9+NºAsuntos!E9)/NºAsuntos!G9," - ")</f>
        <v>6.8228364295423649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47</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3</v>
      </c>
      <c r="Y10" s="374">
        <f t="shared" ref="Y10:Y13" si="0">SUM(W10:X10)</f>
        <v>36</v>
      </c>
      <c r="Z10" s="375" t="str">
        <f>IF(ISNUMBER(Datos!CC10),Datos!CC10," - ")</f>
        <v xml:space="preserve"> - </v>
      </c>
      <c r="AA10" s="372">
        <f>IF(ISNUMBER(Datos!L10),Datos!L10,"-")</f>
        <v>38</v>
      </c>
      <c r="AB10" s="374">
        <f>IF(ISNUMBER(Datos!R10),Datos!R10," - ")</f>
        <v>64</v>
      </c>
      <c r="AC10" s="374">
        <f t="shared" ref="AC10:AC13" si="1">IF(ISNUMBER(AA10+AB10),AA10+AB10," - ")</f>
        <v>102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1.375</v>
      </c>
      <c r="AM10" s="284">
        <f>IF(ISNUMBER(((NºAsuntos!I10/NºAsuntos!G10)*11)/factor_trimestre),((NºAsuntos!I10/NºAsuntos!G10)*11)/factor_trimestre," - ")</f>
        <v>3.454545454545455</v>
      </c>
      <c r="AN10" s="267">
        <f>IF(ISNUMBER('Resol  Asuntos'!D10/NºAsuntos!G10),'Resol  Asuntos'!D10/NºAsuntos!G10," - ")</f>
        <v>0.42424242424242425</v>
      </c>
      <c r="AO10" s="268">
        <f>IF(ISNUMBER((NºAsuntos!C10+NºAsuntos!E10)/NºAsuntos!G10),(NºAsuntos!C10+NºAsuntos!E10)/NºAsuntos!G10," - ")</f>
        <v>2.1515151515151514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82</v>
      </c>
      <c r="Y12" s="374">
        <f t="shared" si="0"/>
        <v>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47</v>
      </c>
      <c r="G14" s="1163">
        <f t="shared" si="5"/>
        <v>47</v>
      </c>
      <c r="H14" s="1162">
        <f t="shared" si="5"/>
        <v>0</v>
      </c>
      <c r="I14" s="1164">
        <f t="shared" si="5"/>
        <v>0</v>
      </c>
      <c r="J14" s="1164">
        <f t="shared" si="5"/>
        <v>0</v>
      </c>
      <c r="K14" s="1164">
        <f t="shared" si="5"/>
        <v>0</v>
      </c>
      <c r="L14" s="1164">
        <f t="shared" si="5"/>
        <v>481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463</v>
      </c>
      <c r="Y14" s="1165">
        <f t="shared" si="6"/>
        <v>496</v>
      </c>
      <c r="Z14" s="1165">
        <f t="shared" si="6"/>
        <v>0</v>
      </c>
      <c r="AA14" s="1165">
        <f t="shared" si="6"/>
        <v>38</v>
      </c>
      <c r="AB14" s="1165">
        <f t="shared" si="6"/>
        <v>11624</v>
      </c>
      <c r="AC14" s="1165">
        <f t="shared" si="6"/>
        <v>102</v>
      </c>
      <c r="AD14" s="1165">
        <f t="shared" si="6"/>
        <v>0</v>
      </c>
      <c r="AE14" s="1169">
        <f t="shared" si="6"/>
        <v>0</v>
      </c>
      <c r="AF14" s="1162">
        <f t="shared" si="6"/>
        <v>0</v>
      </c>
      <c r="AG14" s="1170">
        <f t="shared" si="6"/>
        <v>0</v>
      </c>
      <c r="AH14" s="1167">
        <f t="shared" si="6"/>
        <v>0</v>
      </c>
      <c r="AI14" s="1162">
        <f t="shared" si="6"/>
        <v>547</v>
      </c>
      <c r="AJ14" s="1164">
        <f t="shared" si="6"/>
        <v>0</v>
      </c>
      <c r="AK14" s="1167">
        <f>SUBTOTAL(9,AK9:AK13)</f>
        <v>0</v>
      </c>
      <c r="AL14" s="1171">
        <f>IF(ISNUMBER(NºAsuntos!G14/NºAsuntos!E14),NºAsuntos!G14/NºAsuntos!E14," - ")</f>
        <v>0.810126582278481</v>
      </c>
      <c r="AM14" s="1171">
        <f>IF(ISNUMBER(((NºAsuntos!I14/NºAsuntos!G14)*11)/factor_trimestre),((NºAsuntos!I14/NºAsuntos!G14)*11)/factor_trimestre," - ")</f>
        <v>17.263392857142858</v>
      </c>
      <c r="AN14" s="1172">
        <f>IF(ISNUMBER('Resol  Asuntos'!D14/NºAsuntos!G14),'Resol  Asuntos'!D14/NºAsuntos!G14," - ")</f>
        <v>0.24419642857142856</v>
      </c>
      <c r="AO14" s="1173">
        <f>IF(ISNUMBER((NºAsuntos!C14+NºAsuntos!E14)/NºAsuntos!G14),(NºAsuntos!C14+NºAsuntos!E14)/NºAsuntos!G14," - ")</f>
        <v>6.7549107142857139</v>
      </c>
      <c r="AP14" s="1174" t="str">
        <f t="shared" si="2"/>
        <v xml:space="preserve"> - </v>
      </c>
      <c r="AQ14" s="1174">
        <f>IF(ISNUMBER((H14-W14+K14)/(F14)),(H14-W14+K14)/(F14)," - ")</f>
        <v>-0.7021276595744681</v>
      </c>
      <c r="AR14" s="1175">
        <f>IF(ISNUMBER((Datos!P14-Datos!Q14)/(Datos!R14-Datos!P14+Datos!Q14)),(Datos!P14-Datos!Q14)/(Datos!R14-Datos!P14+Datos!Q14)," - ")</f>
        <v>1.5509219369291745E-3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3484</v>
      </c>
      <c r="G16" s="373">
        <f>IF(ISNUMBER(IF(D_I="SI",Datos!I16,Datos!I16+Datos!AC16)),IF(D_I="SI",Datos!I16,Datos!I16+Datos!AC16)," - ")</f>
        <v>3454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2611</v>
      </c>
      <c r="X16" s="240">
        <f>IF(ISNUMBER(Datos!Q16),Datos!Q16," - ")</f>
        <v>60</v>
      </c>
      <c r="Y16" s="374">
        <f>SUM(W16)</f>
        <v>2611</v>
      </c>
      <c r="Z16" s="375" t="str">
        <f>IF(ISNUMBER(Datos!CC16),Datos!CC16," - ")</f>
        <v xml:space="preserve"> - </v>
      </c>
      <c r="AA16" s="372">
        <f>IF(ISNUMBER(IF(D_I="SI",Datos!L16,Datos!L16+Datos!AF16)),IF(D_I="SI",Datos!L16,Datos!L16+Datos!AF16)," - ")</f>
        <v>3517</v>
      </c>
      <c r="AB16" s="374">
        <f>IF(ISNUMBER(Datos!R16),Datos!R16," - ")</f>
        <v>329</v>
      </c>
      <c r="AC16" s="374">
        <f t="shared" ref="AC16:AC22" si="8">IF(ISNUMBER(AA16+AB16),AA16+AB16," - ")</f>
        <v>3846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469</v>
      </c>
      <c r="AJ16" s="245" t="str">
        <f>IF(ISNUMBER(Datos!BW16),Datos!BW16," - ")</f>
        <v xml:space="preserve"> - </v>
      </c>
      <c r="AK16" s="246" t="str">
        <f>IF(ISNUMBER(Datos!BX16),Datos!BX16," - ")</f>
        <v xml:space="preserve"> - </v>
      </c>
      <c r="AL16" s="266">
        <f>IF(ISNUMBER(NºAsuntos!G16/NºAsuntos!E16),NºAsuntos!G16/NºAsuntos!E16," - ")</f>
        <v>0.98751891074130105</v>
      </c>
      <c r="AM16" s="284">
        <f>IF(ISNUMBER(((NºAsuntos!I16/NºAsuntos!G16)*11)/factor_trimestre),((NºAsuntos!I16/NºAsuntos!G16)*11)/factor_trimestre," - ")</f>
        <v>4.0409804672539265</v>
      </c>
      <c r="AN16" s="267">
        <f>IF(ISNUMBER('Resol  Asuntos'!D16/NºAsuntos!G16),'Resol  Asuntos'!D16/NºAsuntos!G16," - ")</f>
        <v>0.17962466487935658</v>
      </c>
      <c r="AO16" s="268">
        <f>IF(ISNUMBER((NºAsuntos!C16+NºAsuntos!E16)/NºAsuntos!G16),(NºAsuntos!C16+NºAsuntos!E16)/NºAsuntos!G16," - ")</f>
        <v>2.3355036384527001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8</v>
      </c>
      <c r="G17" s="373">
        <f>IF(ISNUMBER(IF(D_I="SI",Datos!I17,Datos!I17+Datos!AC17)),IF(D_I="SI",Datos!I17,Datos!I17+Datos!AC17)," - ")</f>
        <v>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8</v>
      </c>
      <c r="AB17" s="374">
        <f>IF(ISNUMBER(Datos!R17),Datos!R17," - ")</f>
        <v>0</v>
      </c>
      <c r="AC17" s="374">
        <f t="shared" si="8"/>
        <v>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24</v>
      </c>
      <c r="AN17" s="267">
        <f>IF(ISNUMBER('Resol  Asuntos'!D17/NºAsuntos!G17),'Resol  Asuntos'!D17/NºAsuntos!G17," - ")</f>
        <v>0</v>
      </c>
      <c r="AO17" s="268">
        <f>IF(ISNUMBER((NºAsuntos!C17+NºAsuntos!E17)/NºAsuntos!G17),(NºAsuntos!C17+NºAsuntos!E17)/NºAsuntos!G17," - ")</f>
        <v>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217</v>
      </c>
      <c r="X18" s="240">
        <f>IF(ISNUMBER(Datos!Q18),Datos!Q18," - ")</f>
        <v>14</v>
      </c>
      <c r="Y18" s="374">
        <f t="shared" si="9"/>
        <v>231</v>
      </c>
      <c r="Z18" s="375" t="str">
        <f>IF(ISNUMBER(Datos!CC18),Datos!CC18," - ")</f>
        <v xml:space="preserve"> - </v>
      </c>
      <c r="AA18" s="372">
        <f>IF(ISNUMBER(Datos!L18),Datos!L18,"-")</f>
        <v>218</v>
      </c>
      <c r="AB18" s="374">
        <f>IF(ISNUMBER(Datos!R18),Datos!R18," - ")</f>
        <v>0</v>
      </c>
      <c r="AC18" s="374">
        <f t="shared" si="8"/>
        <v>218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68</v>
      </c>
      <c r="AJ18" s="245" t="str">
        <f>IF(ISNUMBER(Datos!BW18),Datos!BW18," - ")</f>
        <v xml:space="preserve"> - </v>
      </c>
      <c r="AK18" s="246" t="str">
        <f>IF(ISNUMBER(Datos!BX18),Datos!BX18," - ")</f>
        <v xml:space="preserve"> - </v>
      </c>
      <c r="AL18" s="266">
        <f>IF(ISNUMBER(NºAsuntos!G18/NºAsuntos!E18),NºAsuntos!G18/NºAsuntos!E18," - ")</f>
        <v>0.87854251012145745</v>
      </c>
      <c r="AM18" s="284">
        <f>IF(ISNUMBER(((NºAsuntos!I18/NºAsuntos!G18)*11)/factor_trimestre),((NºAsuntos!I18/NºAsuntos!G18)*11)/factor_trimestre," - ")</f>
        <v>3.0138248847926268</v>
      </c>
      <c r="AN18" s="267">
        <f>IF(ISNUMBER('Resol  Asuntos'!D18/NºAsuntos!G18),'Resol  Asuntos'!D18/NºAsuntos!G18," - ")</f>
        <v>0.31336405529953915</v>
      </c>
      <c r="AO18" s="268">
        <f>IF(ISNUMBER((NºAsuntos!C18+NºAsuntos!E18)/NºAsuntos!G18),(NºAsuntos!C18+NºAsuntos!E18)/NºAsuntos!G18," - ")</f>
        <v>2.0046082949308754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3492</v>
      </c>
      <c r="G23" s="1163">
        <f>SUBTOTAL(9,G16:G22)</f>
        <v>3650</v>
      </c>
      <c r="H23" s="1162">
        <f t="shared" ref="H23:O23" si="13">SUBTOTAL(9,H15:H22)</f>
        <v>0</v>
      </c>
      <c r="I23" s="1164">
        <f t="shared" si="13"/>
        <v>0</v>
      </c>
      <c r="J23" s="1164">
        <f t="shared" si="13"/>
        <v>0</v>
      </c>
      <c r="K23" s="1164">
        <f t="shared" si="13"/>
        <v>0</v>
      </c>
      <c r="L23" s="1164">
        <f t="shared" si="13"/>
        <v>92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2829</v>
      </c>
      <c r="X23" s="1164">
        <f t="shared" si="14"/>
        <v>74</v>
      </c>
      <c r="Y23" s="1165">
        <f t="shared" si="14"/>
        <v>2843</v>
      </c>
      <c r="Z23" s="1165">
        <f t="shared" si="14"/>
        <v>0</v>
      </c>
      <c r="AA23" s="1165">
        <f t="shared" si="14"/>
        <v>3743</v>
      </c>
      <c r="AB23" s="1165">
        <f t="shared" si="14"/>
        <v>329</v>
      </c>
      <c r="AC23" s="1165">
        <f t="shared" si="14"/>
        <v>4072</v>
      </c>
      <c r="AD23" s="1165">
        <f t="shared" si="14"/>
        <v>0</v>
      </c>
      <c r="AE23" s="1169">
        <f t="shared" si="14"/>
        <v>0</v>
      </c>
      <c r="AF23" s="1162">
        <f t="shared" si="14"/>
        <v>0</v>
      </c>
      <c r="AG23" s="1170">
        <f t="shared" si="14"/>
        <v>0</v>
      </c>
      <c r="AH23" s="1167">
        <f t="shared" si="14"/>
        <v>0</v>
      </c>
      <c r="AI23" s="1162">
        <f t="shared" si="14"/>
        <v>537</v>
      </c>
      <c r="AJ23" s="1164">
        <f t="shared" si="14"/>
        <v>0</v>
      </c>
      <c r="AK23" s="1167">
        <f t="shared" si="14"/>
        <v>0</v>
      </c>
      <c r="AL23" s="1171">
        <f>IF(ISNUMBER(NºAsuntos!G23/NºAsuntos!E23),NºAsuntos!G23/NºAsuntos!E23," - ")</f>
        <v>0.97821576763485474</v>
      </c>
      <c r="AM23" s="1171">
        <f>IF(ISNUMBER(((NºAsuntos!I23/NºAsuntos!G23)*11)/factor_trimestre),((NºAsuntos!I23/NºAsuntos!G23)*11)/factor_trimestre," - ")</f>
        <v>3.9692470837751856</v>
      </c>
      <c r="AN23" s="1172">
        <f>IF(ISNUMBER('Resol  Asuntos'!D23/NºAsuntos!G23),'Resol  Asuntos'!D23/NºAsuntos!G23," - ")</f>
        <v>0.18981972428419935</v>
      </c>
      <c r="AO23" s="1173">
        <f>IF(ISNUMBER((NºAsuntos!C23+NºAsuntos!E23)/NºAsuntos!G23),(NºAsuntos!C23+NºAsuntos!E23)/NºAsuntos!G23," - ")</f>
        <v>2.3124779073877697</v>
      </c>
      <c r="AP23" s="1174" t="str">
        <f t="shared" si="2"/>
        <v xml:space="preserve"> - </v>
      </c>
      <c r="AQ23" s="1174">
        <f>IF(ISNUMBER((H23-W23+K23)/(F23)),(H23-W23+K23)/(F23)," - ")</f>
        <v>-0.81013745704467355</v>
      </c>
      <c r="AR23" s="1175">
        <f>IF(ISNUMBER((Datos!P23-Datos!Q23)/(Datos!R23-Datos!P23+Datos!Q23)),(Datos!P23-Datos!Q23)/(Datos!R23-Datos!P23+Datos!Q23)," - ")</f>
        <v>5.7877813504823149E-2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3539</v>
      </c>
      <c r="G31" s="1118">
        <f t="shared" si="20"/>
        <v>3697</v>
      </c>
      <c r="H31" s="1117">
        <f t="shared" si="20"/>
        <v>0</v>
      </c>
      <c r="I31" s="1119">
        <f t="shared" si="20"/>
        <v>0</v>
      </c>
      <c r="J31" s="1119">
        <f t="shared" si="20"/>
        <v>0</v>
      </c>
      <c r="K31" s="1180">
        <f t="shared" si="20"/>
        <v>0</v>
      </c>
      <c r="L31" s="1119">
        <f t="shared" si="20"/>
        <v>573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2862</v>
      </c>
      <c r="X31" s="1118">
        <f t="shared" si="21"/>
        <v>537</v>
      </c>
      <c r="Y31" s="1125">
        <f t="shared" si="21"/>
        <v>3339</v>
      </c>
      <c r="Z31" s="1125">
        <f t="shared" si="21"/>
        <v>0</v>
      </c>
      <c r="AA31" s="1125">
        <f t="shared" si="21"/>
        <v>3781</v>
      </c>
      <c r="AB31" s="1125">
        <f t="shared" si="21"/>
        <v>11953</v>
      </c>
      <c r="AC31" s="1125">
        <f t="shared" si="21"/>
        <v>4174</v>
      </c>
      <c r="AD31" s="1125">
        <f t="shared" si="21"/>
        <v>0</v>
      </c>
      <c r="AE31" s="1127">
        <f t="shared" si="21"/>
        <v>0</v>
      </c>
      <c r="AF31" s="1128">
        <f t="shared" si="21"/>
        <v>0</v>
      </c>
      <c r="AG31" s="1129">
        <f t="shared" si="21"/>
        <v>0</v>
      </c>
      <c r="AH31" s="1127">
        <f t="shared" si="21"/>
        <v>0</v>
      </c>
      <c r="AI31" s="1117">
        <f t="shared" si="21"/>
        <v>1084</v>
      </c>
      <c r="AJ31" s="1117">
        <f t="shared" si="21"/>
        <v>0</v>
      </c>
      <c r="AK31" s="1127">
        <f t="shared" si="21"/>
        <v>0</v>
      </c>
      <c r="AL31" s="1183">
        <f>IF(ISNUMBER(NºAsuntos!G31/NºAsuntos!E31),NºAsuntos!G31/NºAsuntos!E31," - ")</f>
        <v>0.89605798126215308</v>
      </c>
      <c r="AM31" s="1184">
        <f>IF(ISNUMBER(((NºAsuntos!I31/NºAsuntos!G31)*11)/factor_trimestre),((NºAsuntos!I31/NºAsuntos!G31)*11)/factor_trimestre," - ")</f>
        <v>9.8439534424935893</v>
      </c>
      <c r="AN31" s="1184">
        <f>IF(ISNUMBER('Resol  Asuntos'!D31/NºAsuntos!G31),'Resol  Asuntos'!D31/NºAsuntos!G31," - ")</f>
        <v>0.21384888538173211</v>
      </c>
      <c r="AO31" s="1185">
        <f>IF(ISNUMBER((NºAsuntos!C31+NºAsuntos!E31)/NºAsuntos!G31),(NºAsuntos!C31+NºAsuntos!E31)/NºAsuntos!G31," - ")</f>
        <v>4.2755967646478599</v>
      </c>
      <c r="AP31" s="1186" t="str">
        <f t="shared" si="2"/>
        <v xml:space="preserve"> - </v>
      </c>
      <c r="AQ31" s="1187">
        <f>IF(OR(ISNUMBER(FIND("01",Criterios!A8,1)),ISNUMBER(FIND("02",Criterios!A8,1)),ISNUMBER(FIND("03",Criterios!A8,1)),ISNUMBER(FIND("04",Criterios!A8,1))),(I31-W31+K31)/(F31-K31),(H31-W31+K31)/(F31-K31))</f>
        <v>-0.80870302345295286</v>
      </c>
      <c r="AR31" s="1188">
        <f>IF(ISNUMBER((Datos!P31-Datos!Q31)/(Datos!R31-Datos!P31+Datos!Q31)),(Datos!P31-Datos!Q31)/(Datos!R31-Datos!P31+Datos!Q31)," - ")</f>
        <v>3.020894520432995E-3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924.25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1692.1353795890986</v>
      </c>
      <c r="G33" s="277">
        <f>IF(ISNUMBER(STDEV(G8:G30)),STDEV(G8:G30),"-")</f>
        <v>1623.8638885606849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1240.6396967463427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263.8235100298009</v>
      </c>
      <c r="AJ33" s="276">
        <f t="shared" si="25"/>
        <v>0</v>
      </c>
      <c r="AK33" s="278">
        <f t="shared" si="25"/>
        <v>0</v>
      </c>
      <c r="AL33" s="273">
        <f t="shared" si="25"/>
        <v>0.19412404295585312</v>
      </c>
      <c r="AM33" s="274">
        <f t="shared" si="25"/>
        <v>8.8184706378208926</v>
      </c>
      <c r="AN33" s="274">
        <f t="shared" si="25"/>
        <v>0.13039887563933802</v>
      </c>
      <c r="AO33" s="275">
        <f t="shared" si="25"/>
        <v>2.9422456142322271</v>
      </c>
      <c r="AP33" s="317" t="str">
        <f t="shared" si="25"/>
        <v>-</v>
      </c>
      <c r="AQ33" s="318">
        <f t="shared" si="25"/>
        <v>7.6374460225767882E-2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nlE4iVcy3/3VKuyeZvUqbTqLIgg45l1FbfsmsMk/298CxyMbe2CvLV/URxuBI1y1y8zB5gaPndK5Fc6M3hpiA==" saltValue="Zhvo3i6wP6RNLQTqn4th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ARONA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-6.32688927943761E-2</v>
      </c>
      <c r="I9" s="395">
        <f>IF(ISNUMBER((Tasas!C9-Datos!BE9)/Datos!BE9),(Tasas!C9-Datos!BE9)/Datos!BE9," - ")</f>
        <v>0.28790278192126278</v>
      </c>
      <c r="J9" s="394">
        <f>IF(ISNUMBER((Tasas!D9-Datos!BF9)/Datos!BF9),(Tasas!D9-Datos!BF9)/Datos!BF9," - ")</f>
        <v>-0.28252429806425666</v>
      </c>
      <c r="K9" s="396">
        <f>IF(ISNUMBER((Tasas!E9-Datos!BG9)/Datos!BG9),(Tasas!E9-Datos!BG9)/Datos!BG9," - ")</f>
        <v>0.23575759943988417</v>
      </c>
      <c r="M9" t="e">
        <f>IF(Monitorios="SI",Datos!CE9,0)</f>
        <v>#REF!</v>
      </c>
      <c r="N9" t="e">
        <f>IF(Monitorios="SI",Datos!CF9,0)</f>
        <v>#REF!</v>
      </c>
      <c r="O9" t="e">
        <f>IF(Monitorios="SI",Datos!CG9,0)</f>
        <v>#REF!</v>
      </c>
      <c r="P9" t="e">
        <f>IF(Monitorios="SI",Datos!CH9,0)</f>
        <v>#REF!</v>
      </c>
      <c r="Q9">
        <f>IF(J_V="SI",0,Datos!AG9)</f>
        <v>309</v>
      </c>
      <c r="R9">
        <f>IF(J_V="SI",0,Datos!AH9)</f>
        <v>122</v>
      </c>
      <c r="S9">
        <f>IF(J_V="SI",0,Datos!AI9)</f>
        <v>147</v>
      </c>
      <c r="T9">
        <f>IF(J_V="SI",0,Datos!AJ9)</f>
        <v>284</v>
      </c>
    </row>
    <row r="10" spans="2:20" ht="14.25">
      <c r="B10" s="300" t="s">
        <v>321</v>
      </c>
      <c r="C10" s="7" t="str">
        <f>Datos!A10</f>
        <v>Jdos. Violencia contra la mujer</v>
      </c>
      <c r="D10" s="397">
        <f>IF(ISNUMBER((Datos!I10-Datos!S10)/Datos!S10),(Datos!I10-Datos!S10)/Datos!S10," - ")</f>
        <v>-0.24193548387096775</v>
      </c>
      <c r="E10" s="393">
        <f>IF(ISNUMBER((Datos!J10-Datos!T10)/Datos!T10),(Datos!J10-Datos!T10)/Datos!T10," - ")</f>
        <v>-0.33333333333333331</v>
      </c>
      <c r="F10" s="393">
        <f>IF(ISNUMBER((Datos!K10-Datos!U10)/Datos!U10),(Datos!K10-Datos!U10)/Datos!U10," - ")</f>
        <v>-0.13157894736842105</v>
      </c>
      <c r="G10" s="394">
        <f>IF(ISNUMBER((Datos!L10-Datos!V10)/Datos!V10),(Datos!L10-Datos!V10)/Datos!V10," - ")</f>
        <v>-0.3559322033898305</v>
      </c>
      <c r="H10" s="244">
        <f>IF(ISNUMBER((Datos!M10-Datos!W10)/Datos!W10),(Datos!M10-Datos!W10)/Datos!W10," - ")</f>
        <v>-0.26315789473684209</v>
      </c>
      <c r="I10" s="395">
        <f>IF(ISNUMBER((Tasas!C10-Datos!BE10)/Datos!BE10),(Tasas!C10-Datos!BE10)/Datos!BE10," - ")</f>
        <v>-0.25834617360041079</v>
      </c>
      <c r="J10" s="394">
        <f>IF(ISNUMBER((Tasas!D10-Datos!BF10)/Datos!BF10),(Tasas!D10-Datos!BF10)/Datos!BF10," - ")</f>
        <v>-0.15151515151515149</v>
      </c>
      <c r="K10" s="396">
        <f>IF(ISNUMBER((Tasas!E10-Datos!BG10)/Datos!BG10),(Tasas!E10-Datos!BG10)/Datos!BG10," - ")</f>
        <v>-0.16573902288188008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0</v>
      </c>
      <c r="S12">
        <f>IF(J_V="SI",0,Datos!AI12)</f>
        <v>0</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-6.9727891156462579E-2</v>
      </c>
      <c r="I14" s="402">
        <f>IF(ISNUMBER((Tasas!C14-Datos!BE14)/Datos!BE14),(Tasas!C14-Datos!BE14)/Datos!BE14," - ")</f>
        <v>0.28660390469655816</v>
      </c>
      <c r="J14" s="400">
        <f>IF(ISNUMBER((Tasas!D14-Datos!BF14)/Datos!BF14),(Tasas!D14-Datos!BF14)/Datos!BF14," - ")</f>
        <v>-0.28034618401624217</v>
      </c>
      <c r="K14" s="403">
        <f>IF(ISNUMBER((Tasas!E14-Datos!BG14)/Datos!BG14),(Tasas!E14-Datos!BG14)/Datos!BG14," - ")</f>
        <v>0.23421590349933624</v>
      </c>
      <c r="M14" t="e">
        <f>IF(Monitorios="SI",Datos!CE14,0)</f>
        <v>#REF!</v>
      </c>
      <c r="N14" t="e">
        <f>IF(Monitorios="SI",Datos!CF14,0)</f>
        <v>#REF!</v>
      </c>
      <c r="O14" t="e">
        <f>IF(Monitorios="SI",Datos!CG14,0)</f>
        <v>#REF!</v>
      </c>
      <c r="P14" t="e">
        <f>IF(Monitorios="SI",Datos!CH14,0)</f>
        <v>#REF!</v>
      </c>
      <c r="Q14">
        <f>IF(J_V="SI",0,Datos!AG14)</f>
        <v>310</v>
      </c>
      <c r="R14">
        <f>IF(J_V="SI",0,Datos!AH14)</f>
        <v>122</v>
      </c>
      <c r="S14">
        <f>IF(J_V="SI",0,Datos!AI14)</f>
        <v>147</v>
      </c>
      <c r="T14">
        <f>IF(J_V="SI",0,Datos!AJ14)</f>
        <v>285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0.1816626753335614</v>
      </c>
      <c r="E16" s="393">
        <f>IF(ISNUMBER(
   IF(D_I="SI",(Datos!J16-Datos!T16)/Datos!T16,(Datos!J16+Datos!AD16-(Datos!T16+Datos!AL16))/(Datos!T16+Datos!AL16))
     ),IF(D_I="SI",(Datos!J16-Datos!T16)/Datos!T16,(Datos!J16+Datos!AD16-(Datos!T16+Datos!AL16))/(Datos!T16+Datos!AL16))," - ")</f>
        <v>-0.10342488979315022</v>
      </c>
      <c r="F16" s="393">
        <f>IF(ISNUMBER(
   IF(D_I="SI",(Datos!K16-Datos!U16)/Datos!U16,(Datos!K16+Datos!AE16-(Datos!U16+Datos!AM16))/(Datos!U16+Datos!AM16))
     ),IF(D_I="SI",(Datos!K16-Datos!U16)/Datos!U16,(Datos!K16+Datos!AE16-(Datos!U16+Datos!AM16))/(Datos!U16+Datos!AM16))," - ")</f>
        <v>-0.11701048359824145</v>
      </c>
      <c r="G16" s="394">
        <f>IF(ISNUMBER(
   IF(D_I="SI",(Datos!L16-Datos!V16)/Datos!V16,(Datos!L16+Datos!AF16-(Datos!V16+Datos!AN16))/(Datos!V16+Datos!AN16))
     ),IF(D_I="SI",(Datos!L16-Datos!V16)/Datos!V16,(Datos!L16+Datos!AF16-(Datos!V16+Datos!AN16))/(Datos!V16+Datos!AN16))," - ")</f>
        <v>8.0823601720958815E-2</v>
      </c>
      <c r="H16" s="244">
        <f>IF(ISNUMBER((Datos!M16-Datos!W16)/Datos!W16),(Datos!M16-Datos!W16)/Datos!W16," - ")</f>
        <v>0.43425076452599387</v>
      </c>
      <c r="I16" s="395">
        <f>IF(ISNUMBER((Tasas!C16-Datos!BE16)/Datos!BE16),(Tasas!C16-Datos!BE16)/Datos!BE16," - ")</f>
        <v>0.22405032182645551</v>
      </c>
      <c r="J16" s="394">
        <f>IF(ISNUMBER((Tasas!D16-Datos!BF16)/Datos!BF16),(Tasas!D16-Datos!BF16)/Datos!BF16," - ")</f>
        <v>0.6243123365390133</v>
      </c>
      <c r="K16" s="396">
        <f>IF(ISNUMBER((Tasas!E16-Datos!BG16)/Datos!BG16),(Tasas!E16-Datos!BG16)/Datos!BG16," - ")</f>
        <v>0.17610426752463121</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-7.8431372549019607E-2</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-6.4655172413793108E-2</v>
      </c>
      <c r="G18" s="394">
        <f>IF(ISNUMBER(
   IF(D_I="SI",(Datos!L18-Datos!V18)/Datos!V18,(Datos!L18+Datos!AF18-(Datos!V18+Datos!AN18))/(Datos!V18+Datos!AN18))
     ),IF(D_I="SI",(Datos!L18-Datos!V18)/Datos!V18,(Datos!L18+Datos!AF18-(Datos!V18+Datos!AN18))/(Datos!V18+Datos!AN18))," - ")</f>
        <v>0.15343915343915343</v>
      </c>
      <c r="H18" s="244">
        <f>IF(ISNUMBER((Datos!M18-Datos!W18)/Datos!W18),(Datos!M18-Datos!W18)/Datos!W18," - ")</f>
        <v>0.51111111111111107</v>
      </c>
      <c r="I18" s="395">
        <f>IF(ISNUMBER((Tasas!C18-Datos!BE18)/Datos!BE18),(Tasas!C18-Datos!BE18)/Datos!BE18," - ")</f>
        <v>0.23316997049715948</v>
      </c>
      <c r="J18" s="394">
        <f>IF(ISNUMBER((Tasas!D18-Datos!BF18)/Datos!BF18),(Tasas!D18-Datos!BF18)/Datos!BF18," - ")</f>
        <v>0.61556579621095742</v>
      </c>
      <c r="K18" s="396">
        <f>IF(ISNUMBER((Tasas!E18-Datos!BG18)/Datos!BG18),(Tasas!E18-Datos!BG18)/Datos!BG18," - ")</f>
        <v>6.1801653935988791E-2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0.16427432216905902</v>
      </c>
      <c r="E23" s="399">
        <f>IF(ISNUMBER(
   IF(D_I="SI",(Datos!J23-Datos!T23)/Datos!T23,(Datos!J23+Datos!AD23-(Datos!T23+Datos!AL23))/(Datos!T23+Datos!AL23))
     ),IF(D_I="SI",(Datos!J23-Datos!T23)/Datos!T23,(Datos!J23+Datos!AD23-(Datos!T23+Datos!AL23))/(Datos!T23+Datos!AL23))," - ")</f>
        <v>-9.1423185673892557E-2</v>
      </c>
      <c r="F23" s="399">
        <f>IF(ISNUMBER(
   IF(D_I="SI",(Datos!K23-Datos!U23)/Datos!U23,(Datos!K23+Datos!AE23-(Datos!U23+Datos!AM23))/(Datos!U23+Datos!AM23))
     ),IF(D_I="SI",(Datos!K23-Datos!U23)/Datos!U23,(Datos!K23+Datos!AE23-(Datos!U23+Datos!AM23))/(Datos!U23+Datos!AM23))," - ")</f>
        <v>-0.11288805268109126</v>
      </c>
      <c r="G23" s="400">
        <f>IF(ISNUMBER(
   IF(D_I="SI",(Datos!L23-Datos!V23)/Datos!V23,(Datos!L23+Datos!AF23-(Datos!V23+Datos!AN23))/(Datos!V23+Datos!AN23))
     ),IF(D_I="SI",(Datos!L23-Datos!V23)/Datos!V23,(Datos!L23+Datos!AF23-(Datos!V23+Datos!AN23))/(Datos!V23+Datos!AN23))," - ")</f>
        <v>8.4613155607070417E-2</v>
      </c>
      <c r="H23" s="401">
        <f>IF(ISNUMBER((Datos!M23-Datos!W23)/Datos!W23),(Datos!M23-Datos!W23)/Datos!W23," - ")</f>
        <v>0.44354838709677419</v>
      </c>
      <c r="I23" s="402">
        <f>IF(ISNUMBER((Tasas!C23-Datos!BE23)/Datos!BE23),(Tasas!C23-Datos!BE23)/Datos!BE23," - ")</f>
        <v>0.22263391772037747</v>
      </c>
      <c r="J23" s="400">
        <f>IF(ISNUMBER((Tasas!D23-Datos!BF23)/Datos!BF23),(Tasas!D23-Datos!BF23)/Datos!BF23," - ")</f>
        <v>0.62724489446858001</v>
      </c>
      <c r="K23" s="403">
        <f>IF(ISNUMBER((Tasas!E23-Datos!BG23)/Datos!BG23),(Tasas!E23-Datos!BG23)/Datos!BG23," - ")</f>
        <v>0.16721938060455804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0.25320813771517997</v>
      </c>
      <c r="E31" s="409">
        <f>IF(ISNUMBER(
   IF(J_V="SI",(Datos!J31-Datos!T31)/Datos!T31,(Datos!J31+Datos!Z31-(Datos!T31+Datos!AH31))/(Datos!T31+Datos!AH31))
     ),IF(J_V="SI",(Datos!J31-Datos!T31)/Datos!T31,(Datos!J31+Datos!Z31-(Datos!T31+Datos!AH31))/(Datos!T31+Datos!AH31))," - ")</f>
        <v>-6.0611092660245766E-2</v>
      </c>
      <c r="F31" s="409">
        <f>IF(ISNUMBER(
   IF(J_V="SI",(Datos!K31-Datos!U31)/Datos!U31,(Datos!K31+Datos!AA31-(Datos!U31+Datos!AI31))/(Datos!U31+Datos!AI31))
     ),IF(J_V="SI",(Datos!K31-Datos!U31)/Datos!U31,(Datos!K31+Datos!AA31-(Datos!U31+Datos!AI31))/(Datos!U31+Datos!AI31))," - ")</f>
        <v>-7.3308957952468001E-2</v>
      </c>
      <c r="G31" s="410">
        <f>IF(ISNUMBER(
   IF(J_V="SI",(Datos!L31-Datos!V31)/Datos!V31,(Datos!L31+Datos!AB31-(Datos!V31+Datos!AJ31))/(Datos!V31+Datos!AJ31))
     ),IF(J_V="SI",(Datos!L31-Datos!V31)/Datos!V31,(Datos!L31+Datos!AB31-(Datos!V31+Datos!AJ31))/(Datos!V31+Datos!AJ31))," - ")</f>
        <v>0.21826704753534021</v>
      </c>
      <c r="H31" s="411">
        <f>IF(ISNUMBER((Datos!M31-Datos!W31)/Datos!W31),(Datos!M31-Datos!W31)/Datos!W31," - ")</f>
        <v>0.12916666666666668</v>
      </c>
      <c r="I31" s="408">
        <f>IF(ISNUMBER((Tasas!C31-Datos!BE31)/Datos!BE31),(Tasas!C31-Datos!BE31)/Datos!BE31," - ")</f>
        <v>0.31464208917307385</v>
      </c>
      <c r="J31" s="409">
        <f>IF(ISNUMBER((Tasas!D31-Datos!BF31)/Datos!BF31),(Tasas!D31-Datos!BF31)/Datos!BF31," - ")</f>
        <v>2.0727227781914988E-2</v>
      </c>
      <c r="K31" s="410">
        <f>IF(ISNUMBER((Tasas!E31-Datos!BG31)/Datos!BG31),(Tasas!E31-Datos!BG31)/Datos!BG31," - ")</f>
        <v>0.24388439009806365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0.17645174458350926</v>
      </c>
      <c r="E33" s="303">
        <f t="shared" si="1"/>
        <v>0.16063274705866296</v>
      </c>
      <c r="F33" s="303">
        <f t="shared" si="1"/>
        <v>2.904718161856126E-2</v>
      </c>
      <c r="G33" s="304">
        <f t="shared" si="1"/>
        <v>0.20226746781824009</v>
      </c>
      <c r="H33" s="310">
        <f t="shared" si="1"/>
        <v>0.33478347240443551</v>
      </c>
      <c r="I33" s="302">
        <f t="shared" si="1"/>
        <v>0.21003062182381124</v>
      </c>
      <c r="J33" s="303">
        <f t="shared" si="1"/>
        <v>0.47371444012364133</v>
      </c>
      <c r="K33" s="304">
        <f t="shared" si="1"/>
        <v>0.1528642671274569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6qCNn8BXwxjh1NY1mcq/Cgd0KdTSFwO4QX5C7jkcQlZOSDYHiVsC9sPSdvgi+FgIh0y67sMc1uy9m4E52S/PA==" saltValue="TjMVDGnUKbgIM13RhWxOM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